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"/>
    </mc:Choice>
  </mc:AlternateContent>
  <xr:revisionPtr revIDLastSave="0" documentId="13_ncr:1_{CB5F4704-BA4B-47AE-813B-1EAD4A4E7270}" xr6:coauthVersionLast="47" xr6:coauthVersionMax="47" xr10:uidLastSave="{00000000-0000-0000-0000-000000000000}"/>
  <bookViews>
    <workbookView xWindow="-120" yWindow="-120" windowWidth="29040" windowHeight="15990" xr2:uid="{8F734721-2CB3-9848-BC12-36F644E3359A}"/>
  </bookViews>
  <sheets>
    <sheet name="Stabilito" sheetId="6" r:id="rId1"/>
    <sheet name="Trajecto" sheetId="1" r:id="rId2"/>
    <sheet name="Courbes" sheetId="2" r:id="rId3"/>
    <sheet name="Propu" sheetId="4" r:id="rId4"/>
    <sheet name="Calculs" sheetId="3" r:id="rId5"/>
    <sheet name="Abaco" sheetId="8" r:id="rId6"/>
    <sheet name="Info" sheetId="5" r:id="rId7"/>
    <sheet name="Controle" sheetId="7" r:id="rId8"/>
  </sheets>
  <definedNames>
    <definedName name="_xlnm._FilterDatabase" localSheetId="3" hidden="1">Propu!$O$307:$P$335</definedName>
    <definedName name="a_prop">Abaco!$G$41:$G$67</definedName>
    <definedName name="Acc_max">Trajecto!$L$24</definedName>
    <definedName name="acc_x">Calculs!$D$4:$D$1004</definedName>
    <definedName name="acc_xz">Calculs!$F$4:$F$1004</definedName>
    <definedName name="acc_z">Calculs!$E$4:$E$1004</definedName>
    <definedName name="Alt_para">Trajecto!$I$27</definedName>
    <definedName name="alt_prop">Abaco!$J$41:$J$67</definedName>
    <definedName name="Alt_rampe">Trajecto!$C$20</definedName>
    <definedName name="Alt_sat">Trajecto!$I$25</definedName>
    <definedName name="Altitude_culmi">Trajecto!$I$26</definedName>
    <definedName name="b_bal">Abaco!$I$41:$I$67</definedName>
    <definedName name="b_prop">Abaco!$H$41:$H$67</definedName>
    <definedName name="Beta">Calculs!$M$4:$M$1004</definedName>
    <definedName name="Beta_rampe">Trajecto!$C$19</definedName>
    <definedName name="BetaD">Calculs!$N$4:$N$1004</definedName>
    <definedName name="CdP">Propu!$B$3:$Y$4</definedName>
    <definedName name="CdP_P">Propu!$B$4:$Y$4</definedName>
    <definedName name="CdP_t">Propu!$B$3:$Y$3</definedName>
    <definedName name="Club">Stabilito!$C$9</definedName>
    <definedName name="Cn">Stabilito!$H$28</definedName>
    <definedName name="Cn0">Stabilito!$I$28</definedName>
    <definedName name="Cnai" localSheetId="0">Stabilito!$O$19</definedName>
    <definedName name="Cnai0">Stabilito!$P$19</definedName>
    <definedName name="Cnail" localSheetId="0">Stabilito!$O$20</definedName>
    <definedName name="Cnc" localSheetId="0">Stabilito!$O$21</definedName>
    <definedName name="Cni" localSheetId="0">Stabilito!$O$22</definedName>
    <definedName name="Cni0">Stabilito!$P$22</definedName>
    <definedName name="Cnj" localSheetId="0">Stabilito!$O$23</definedName>
    <definedName name="Cno" localSheetId="0">Stabilito!$O$18</definedName>
    <definedName name="Cnr" localSheetId="0">Stabilito!$O$24</definedName>
    <definedName name="Combustion">Propu!$X$2</definedName>
    <definedName name="CritCnmax" localSheetId="0">Stabilito!$J$28</definedName>
    <definedName name="CritCnmin" localSheetId="0">Stabilito!$G$28</definedName>
    <definedName name="CritFinessemax" localSheetId="0">Stabilito!$J$27</definedName>
    <definedName name="CritFinessemin" localSheetId="0">Stabilito!$G$27</definedName>
    <definedName name="CritMsCnmax" localSheetId="0">Stabilito!$J$30</definedName>
    <definedName name="CritMsCnmin" localSheetId="0">Stabilito!$G$30</definedName>
    <definedName name="CritMsmax" localSheetId="0">Stabilito!$J$29</definedName>
    <definedName name="CritMsmin" localSheetId="0">Stabilito!$G$29</definedName>
    <definedName name="Cx">Trajecto!$C$15</definedName>
    <definedName name="Cx_para">Trajecto!$C$28</definedName>
    <definedName name="Cx_satellite">Trajecto!$D$28</definedName>
    <definedName name="D_ail">Stabilito!$C$34</definedName>
    <definedName name="D_can" localSheetId="0">Stabilito!$D$34</definedName>
    <definedName name="D_int" localSheetId="0">Stabilito!$E$34</definedName>
    <definedName name="D_og">Stabilito!$C$23</definedName>
    <definedName name="D_ref">Stabilito!$C$14</definedName>
    <definedName name="D_var">Abaco!$B$41:$B$67</definedName>
    <definedName name="D1j">Stabilito!$M$7</definedName>
    <definedName name="D1r">Stabilito!$O$7</definedName>
    <definedName name="D2j">Stabilito!$M$8</definedName>
    <definedName name="D2r">Stabilito!$O$8</definedName>
    <definedName name="Débit">Calculs!$R$4:$R$1004</definedName>
    <definedName name="Depotage">Propu!$Z$2</definedName>
    <definedName name="Diam_propu">Propu!$T$2</definedName>
    <definedName name="Dt_para">Trajecto!$C$31</definedName>
    <definedName name="Dt_satellite">Trajecto!$D$31</definedName>
    <definedName name="Dx_para">Trajecto!$C$33</definedName>
    <definedName name="Dx_sat">Trajecto!$D$33</definedName>
    <definedName name="E_ail">Stabilito!$C$30</definedName>
    <definedName name="E_can">Stabilito!$D$30</definedName>
    <definedName name="E_int" localSheetId="0">Stabilito!$E$30</definedName>
    <definedName name="ep_ail">Stabilito!$C$31</definedName>
    <definedName name="ep_can">Stabilito!$D$31</definedName>
    <definedName name="ep_int" localSheetId="0">Stabilito!$E$31</definedName>
    <definedName name="Event">Calculs!$Y$4:$Y$1004</definedName>
    <definedName name="Event_para">Calculs!$Z$4:$Z$1004</definedName>
    <definedName name="Event_sat">Calculs!$AA$4:$AA$1004</definedName>
    <definedName name="f_ail" localSheetId="0">Stabilito!$C$35</definedName>
    <definedName name="f_can" localSheetId="0">Stabilito!$D$35</definedName>
    <definedName name="f_int" localSheetId="0">Stabilito!$E$35</definedName>
    <definedName name="Finesse">Stabilito!$H$27</definedName>
    <definedName name="Forme_ogive">Stabilito!$C$21</definedName>
    <definedName name="g">Info!$E$51</definedName>
    <definedName name="i_P">Calculs!$P$4:$P$1004</definedName>
    <definedName name="I_total">Propu!$D$2</definedName>
    <definedName name="ISP">Propu!$F$2</definedName>
    <definedName name="l_j">Stabilito!$M$6</definedName>
    <definedName name="l_r">Stabilito!$O$6</definedName>
    <definedName name="L_rampe">Trajecto!$C$18</definedName>
    <definedName name="Lang">Stabilito!$M$2</definedName>
    <definedName name="Liste_µfu">Propu!$F$307:$F$336</definedName>
    <definedName name="Liste_fusex">Propu!$R$307:$R$336</definedName>
    <definedName name="Liste_H2O">Propu!$C$307:$D$336</definedName>
    <definedName name="Liste_minif">Propu!$L$307:$M$336</definedName>
    <definedName name="Liste_minifT">Propu!$O$307:$O$336</definedName>
    <definedName name="Liste_propu">Propu!$A$307:$A$317</definedName>
    <definedName name="Liste_RC">Propu!$I$307:$J$336</definedName>
    <definedName name="Long_ogive">Stabilito!$C$22</definedName>
    <definedName name="Long_propu">Propu!$R$2</definedName>
    <definedName name="Long_tot">Stabilito!$C$13</definedName>
    <definedName name="m">Calculs!$S$4:$S$1004</definedName>
    <definedName name="m_ail">Stabilito!$C$27</definedName>
    <definedName name="m_bal">Abaco!$F$41:$F$67</definedName>
    <definedName name="m_can">Stabilito!$D$27</definedName>
    <definedName name="m_int" localSheetId="0">Stabilito!$E$27</definedName>
    <definedName name="m_poudre">Propu!$J$2</definedName>
    <definedName name="m_prop">Abaco!$E$41:$E$67</definedName>
    <definedName name="m_satellite">Trajecto!$D$24</definedName>
    <definedName name="m_tot">Trajecto!$C$10</definedName>
    <definedName name="m_var">Abaco!$D$41:$D$67</definedName>
    <definedName name="m_vide">Trajecto!$C$24</definedName>
    <definedName name="Masse_ail">Controle!$H$63</definedName>
    <definedName name="MassePlein">Stabilito!$M$14</definedName>
    <definedName name="MasseSans">Stabilito!$P$14</definedName>
    <definedName name="MasseVide">Stabilito!$N$14</definedName>
    <definedName name="Menu_Empennage">Stabilito!$B$111:$B$112</definedName>
    <definedName name="Menu_Lang">Stabilito!$B$93:$B$94</definedName>
    <definedName name="Menu_Ogive">Stabilito!$B$107:$B$109</definedName>
    <definedName name="Menu_sat">Trajecto!$B$104:$B$105</definedName>
    <definedName name="Menu_Transitions">Stabilito!$B$114:$B$115</definedName>
    <definedName name="Menu_Type">Stabilito!$B$96:$B$100</definedName>
    <definedName name="Menu_with_motor">Stabilito!$B$103:$B$105</definedName>
    <definedName name="MpropuPlein">Propu!$H$2</definedName>
    <definedName name="MpropuVide">Propu!$L$2</definedName>
    <definedName name="MS_Cn_max">Stabilito!$I$30</definedName>
    <definedName name="MS_Cn_max0">Stabilito!#REF!</definedName>
    <definedName name="MS_Cn_min">Stabilito!$H$30</definedName>
    <definedName name="MS_Cn_min0">Stabilito!#REF!</definedName>
    <definedName name="MS_max">Stabilito!$I$29</definedName>
    <definedName name="MS_max0">Stabilito!#REF!</definedName>
    <definedName name="MS_min">Stabilito!$H$29</definedName>
    <definedName name="MS_min0">Stabilito!#REF!</definedName>
    <definedName name="n_ail">Stabilito!$C$28</definedName>
    <definedName name="n_can">Stabilito!$D$28</definedName>
    <definedName name="n_int" localSheetId="0">Stabilito!$E$28</definedName>
    <definedName name="Nb_diam">Stabilito!$M$4</definedName>
    <definedName name="Nb_sat">Trajecto!$D$23</definedName>
    <definedName name="Nom">Stabilito!$C$8</definedName>
    <definedName name="p_ail">Stabilito!$C$29</definedName>
    <definedName name="p_can">Stabilito!$D$29</definedName>
    <definedName name="p_int" localSheetId="0">Stabilito!$E$29</definedName>
    <definedName name="pas">Calculs!$A$4:$A$1004</definedName>
    <definedName name="Poids">Calculs!$T$4:$T$1004</definedName>
    <definedName name="Portee_balistique">Trajecto!$J$28</definedName>
    <definedName name="pos_x">Calculs!$J$4:$J$1004</definedName>
    <definedName name="pos_xz">Calculs!$L$4:$L$1004</definedName>
    <definedName name="pos_z">Calculs!$K$4:$K$1004</definedName>
    <definedName name="pos_z_montant">Calculs!$AE$4:$AE$1004</definedName>
    <definedName name="Poussee">Calculs!$Q$4:$Q$1004</definedName>
    <definedName name="Propu">Stabilito!$C$17</definedName>
    <definedName name="Q_ail">Stabilito!$C$32</definedName>
    <definedName name="Q_can">Stabilito!$D$32</definedName>
    <definedName name="Q_int" localSheetId="0">Stabilito!$E$32</definedName>
    <definedName name="Q_var">Abaco!$C$41:$C$67</definedName>
    <definedName name="R_rampe">Calculs!$U$4:$U$1004</definedName>
    <definedName name="Rho">Calculs!$V$4:$V$1004</definedName>
    <definedName name="Rho_moyen">Info!$E$52</definedName>
    <definedName name="S_ail">Controle!$H$64</definedName>
    <definedName name="S_para">Trajecto!$C$27</definedName>
    <definedName name="S_para_croix">Trajecto!$B$47</definedName>
    <definedName name="S_para_rond">Trajecto!$B$55</definedName>
    <definedName name="S_satellite">Trajecto!$D$27</definedName>
    <definedName name="Sref">Trajecto!$C$14</definedName>
    <definedName name="sS">Trajecto!$F$132</definedName>
    <definedName name="t">Calculs!$B$4:$B$1004</definedName>
    <definedName name="T_balistique">Trajecto!$H$28</definedName>
    <definedName name="T_ini">Trajecto!$H$40</definedName>
    <definedName name="T_para">Trajecto!$C$113</definedName>
    <definedName name="T_satellite">Trajecto!$D$26</definedName>
    <definedName name="Temps_culmi">Trajecto!$H$26</definedName>
    <definedName name="Temps_fin_propu">Propu!$X$3</definedName>
    <definedName name="Trainee">Calculs!$W$4:$W$1004</definedName>
    <definedName name="tT_fus">Trajecto!$F$133</definedName>
    <definedName name="tT_sat">Trajecto!$F$150</definedName>
    <definedName name="Type_fusee">Stabilito!$C$10</definedName>
    <definedName name="Type_masquage" localSheetId="5">Stabilito!$C$26</definedName>
    <definedName name="Type_masquage" localSheetId="0">Stabilito!$C$26</definedName>
    <definedName name="Type_propu">Propu!$V$2</definedName>
    <definedName name="V_ini">Trajecto!$K$40</definedName>
    <definedName name="V_ouv_sat">Trajecto!$K$25</definedName>
    <definedName name="V_ouverture">Trajecto!$K$27</definedName>
    <definedName name="V_para">Trajecto!$C$30</definedName>
    <definedName name="V_prop">Abaco!$K$41:$K$67</definedName>
    <definedName name="V_satellite">Trajecto!$D$30</definedName>
    <definedName name="V_vent">Trajecto!$C$29</definedName>
    <definedName name="V_vent_sat">Trajecto!$D$29</definedName>
    <definedName name="Version" localSheetId="0">Stabilito!$Q$36</definedName>
    <definedName name="Version" localSheetId="1">Trajecto!$N$35</definedName>
    <definedName name="Vit_culmi">Trajecto!$K$26</definedName>
    <definedName name="Vit_max">Trajecto!$K$24</definedName>
    <definedName name="vit_x">Calculs!$G$4:$G$1004</definedName>
    <definedName name="vit_xz">Calculs!$I$4:$I$1004</definedName>
    <definedName name="vit_z">Calculs!$H$4:$H$1004</definedName>
    <definedName name="Vsortie_de_rampe">Trajecto!$K$23</definedName>
    <definedName name="X_ail">Stabilito!$C$33</definedName>
    <definedName name="X_can">Stabilito!$D$33</definedName>
    <definedName name="X_culmi">Trajecto!$J$26</definedName>
    <definedName name="X_ini">Trajecto!$J$40</definedName>
    <definedName name="X_int" localSheetId="0">Stabilito!$E$33</definedName>
    <definedName name="X_j">Stabilito!$M$9</definedName>
    <definedName name="X_para">Trajecto!$J$27</definedName>
    <definedName name="X_r">Stabilito!$O$9</definedName>
    <definedName name="X_satellite">Trajecto!$J$25</definedName>
    <definedName name="XcgPlein">Stabilito!$M$15</definedName>
    <definedName name="XcgSans">Stabilito!$P$15</definedName>
    <definedName name="XcgVide">Stabilito!$N$15</definedName>
    <definedName name="XCp" localSheetId="0">Stabilito!$H$31</definedName>
    <definedName name="XCp0">Stabilito!$I$31</definedName>
    <definedName name="XCpa" localSheetId="0">Stabilito!$M$20</definedName>
    <definedName name="XCpai" localSheetId="0">Stabilito!$M$19</definedName>
    <definedName name="XCpai0">Stabilito!$N$19</definedName>
    <definedName name="XCpc" localSheetId="0">Stabilito!$M$21</definedName>
    <definedName name="XCpi" localSheetId="0">Stabilito!$M$22</definedName>
    <definedName name="XCpi0">Stabilito!$N$22</definedName>
    <definedName name="XCpj" localSheetId="0">Stabilito!$M$23</definedName>
    <definedName name="XCpo" localSheetId="0">Stabilito!$M$18</definedName>
    <definedName name="XCpr" localSheetId="0">Stabilito!$M$24</definedName>
    <definedName name="XpropuPlein">Propu!$N$2</definedName>
    <definedName name="XpropuRef">Stabilito!$C$18</definedName>
    <definedName name="XpropuVide">Propu!$P$2</definedName>
    <definedName name="Z_ini">Trajecto!$I$40</definedName>
    <definedName name="_xlnm.Print_Area" localSheetId="5">Abaco!$A$1:$M$35</definedName>
    <definedName name="_xlnm.Print_Area" localSheetId="2">Courbes!$A$1:$K$78</definedName>
    <definedName name="_xlnm.Print_Area" localSheetId="0">Stabilito!$A$1:$Q$37</definedName>
    <definedName name="_xlnm.Print_Area" localSheetId="1">Trajecto!$A$1:$N$35</definedName>
    <definedName name="zZ_fus">Trajecto!$F$134</definedName>
    <definedName name="zZ_sat">Trajecto!$F$151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6" l="1"/>
  <c r="M7" i="6" l="1"/>
  <c r="C18" i="6"/>
  <c r="M8" i="6" l="1"/>
  <c r="O7" i="6"/>
  <c r="F27" i="7"/>
  <c r="M23" i="6"/>
  <c r="C172" i="6"/>
  <c r="I317" i="4"/>
  <c r="I316" i="4"/>
  <c r="I315" i="4"/>
  <c r="I314" i="4"/>
  <c r="I313" i="4"/>
  <c r="I312" i="4"/>
  <c r="I311" i="4"/>
  <c r="I310" i="4"/>
  <c r="I309" i="4"/>
  <c r="I308" i="4"/>
  <c r="I307" i="4"/>
  <c r="L311" i="4"/>
  <c r="D103" i="4"/>
  <c r="E103" i="4"/>
  <c r="F103" i="4"/>
  <c r="G103" i="4"/>
  <c r="F105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S98" i="4"/>
  <c r="T98" i="4"/>
  <c r="U98" i="4"/>
  <c r="V98" i="4"/>
  <c r="W98" i="4"/>
  <c r="X98" i="4"/>
  <c r="D98" i="4"/>
  <c r="E98" i="4"/>
  <c r="F98" i="4"/>
  <c r="G98" i="4"/>
  <c r="H98" i="4"/>
  <c r="I98" i="4"/>
  <c r="J98" i="4"/>
  <c r="K98" i="4"/>
  <c r="L98" i="4"/>
  <c r="K100" i="4" s="1"/>
  <c r="M98" i="4"/>
  <c r="N98" i="4"/>
  <c r="O98" i="4"/>
  <c r="O100" i="4" s="1"/>
  <c r="P98" i="4"/>
  <c r="Q98" i="4"/>
  <c r="R98" i="4"/>
  <c r="C103" i="4"/>
  <c r="C98" i="4"/>
  <c r="X104" i="4"/>
  <c r="W104" i="4"/>
  <c r="V104" i="4"/>
  <c r="U104" i="4"/>
  <c r="T105" i="4" s="1"/>
  <c r="T104" i="4"/>
  <c r="S104" i="4"/>
  <c r="R104" i="4"/>
  <c r="Q104" i="4"/>
  <c r="P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B105" i="4" s="1"/>
  <c r="L102" i="4"/>
  <c r="J102" i="4" s="1"/>
  <c r="H102" i="4"/>
  <c r="B102" i="4"/>
  <c r="X99" i="4"/>
  <c r="W99" i="4"/>
  <c r="V100" i="4" s="1"/>
  <c r="V99" i="4"/>
  <c r="U99" i="4"/>
  <c r="T99" i="4"/>
  <c r="S99" i="4"/>
  <c r="R99" i="4"/>
  <c r="Q99" i="4"/>
  <c r="P99" i="4"/>
  <c r="O99" i="4"/>
  <c r="N99" i="4"/>
  <c r="M100" i="4"/>
  <c r="M99" i="4"/>
  <c r="L99" i="4"/>
  <c r="K99" i="4"/>
  <c r="J99" i="4"/>
  <c r="I99" i="4"/>
  <c r="H99" i="4"/>
  <c r="G99" i="4"/>
  <c r="G100" i="4" s="1"/>
  <c r="F99" i="4"/>
  <c r="E99" i="4"/>
  <c r="D99" i="4"/>
  <c r="C99" i="4"/>
  <c r="B99" i="4"/>
  <c r="L97" i="4"/>
  <c r="H97" i="4"/>
  <c r="B97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J92" i="4"/>
  <c r="B92" i="4"/>
  <c r="O334" i="4"/>
  <c r="O333" i="4"/>
  <c r="O332" i="4"/>
  <c r="O33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J198" i="4"/>
  <c r="B198" i="4"/>
  <c r="E5" i="7"/>
  <c r="H7" i="7"/>
  <c r="E7" i="7"/>
  <c r="E6" i="7"/>
  <c r="H9" i="7"/>
  <c r="K25" i="7"/>
  <c r="K24" i="7"/>
  <c r="J26" i="7"/>
  <c r="J25" i="7"/>
  <c r="J24" i="7"/>
  <c r="J23" i="7"/>
  <c r="G27" i="7"/>
  <c r="G26" i="7"/>
  <c r="F26" i="7"/>
  <c r="G25" i="7"/>
  <c r="F25" i="7"/>
  <c r="G24" i="7"/>
  <c r="F24" i="7"/>
  <c r="G23" i="7"/>
  <c r="F23" i="7"/>
  <c r="D27" i="7"/>
  <c r="D24" i="7"/>
  <c r="B31" i="6"/>
  <c r="B30" i="6"/>
  <c r="B29" i="6"/>
  <c r="B28" i="6"/>
  <c r="B27" i="6"/>
  <c r="B35" i="6"/>
  <c r="B34" i="6"/>
  <c r="B33" i="6"/>
  <c r="B32" i="6"/>
  <c r="U35" i="7"/>
  <c r="U34" i="7"/>
  <c r="U33" i="7"/>
  <c r="U32" i="7"/>
  <c r="U31" i="7"/>
  <c r="U30" i="7"/>
  <c r="P32" i="7"/>
  <c r="P31" i="7"/>
  <c r="Q34" i="7"/>
  <c r="P29" i="7"/>
  <c r="Q17" i="7"/>
  <c r="U16" i="7"/>
  <c r="Q12" i="7"/>
  <c r="U11" i="7"/>
  <c r="Q3" i="7"/>
  <c r="E17" i="7"/>
  <c r="E16" i="7"/>
  <c r="E15" i="7"/>
  <c r="E13" i="7"/>
  <c r="B52" i="1"/>
  <c r="B50" i="1"/>
  <c r="B55" i="1"/>
  <c r="D27" i="1"/>
  <c r="I69" i="7" s="1"/>
  <c r="D24" i="1"/>
  <c r="C18" i="1"/>
  <c r="H8" i="7" s="1"/>
  <c r="C161" i="6"/>
  <c r="C162" i="6"/>
  <c r="C160" i="6"/>
  <c r="C159" i="6"/>
  <c r="C158" i="6"/>
  <c r="C25" i="6"/>
  <c r="M21" i="6"/>
  <c r="H6" i="7"/>
  <c r="F108" i="1"/>
  <c r="C113" i="1" s="1"/>
  <c r="C152" i="1"/>
  <c r="C150" i="1"/>
  <c r="C148" i="1"/>
  <c r="N33" i="1"/>
  <c r="C19" i="6"/>
  <c r="C131" i="1"/>
  <c r="B25" i="1"/>
  <c r="L310" i="4"/>
  <c r="L309" i="4"/>
  <c r="J30" i="6"/>
  <c r="E190" i="6" s="1"/>
  <c r="G30" i="6"/>
  <c r="E184" i="6" s="1"/>
  <c r="J29" i="6"/>
  <c r="B188" i="6" s="1"/>
  <c r="G29" i="6"/>
  <c r="J28" i="6"/>
  <c r="C185" i="6" s="1"/>
  <c r="J27" i="6"/>
  <c r="G28" i="6"/>
  <c r="C183" i="6" s="1"/>
  <c r="G27" i="6"/>
  <c r="W35" i="6"/>
  <c r="B100" i="6"/>
  <c r="L308" i="4"/>
  <c r="L307" i="4"/>
  <c r="B97" i="6"/>
  <c r="B98" i="6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S235" i="4"/>
  <c r="S234" i="4"/>
  <c r="T234" i="4" s="1"/>
  <c r="U234" i="4" s="1"/>
  <c r="J233" i="4"/>
  <c r="B233" i="4"/>
  <c r="O311" i="4"/>
  <c r="O310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V130" i="4"/>
  <c r="U131" i="4" s="1"/>
  <c r="T131" i="4"/>
  <c r="J128" i="4"/>
  <c r="B128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6" i="4" s="1"/>
  <c r="J123" i="4"/>
  <c r="B123" i="4"/>
  <c r="O330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V250" i="4"/>
  <c r="W250" i="4" s="1"/>
  <c r="V249" i="4"/>
  <c r="W249" i="4" s="1"/>
  <c r="X249" i="4" s="1"/>
  <c r="J248" i="4"/>
  <c r="B248" i="4"/>
  <c r="O327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S230" i="4"/>
  <c r="T230" i="4" s="1"/>
  <c r="U230" i="4" s="1"/>
  <c r="S229" i="4"/>
  <c r="T229" i="4" s="1"/>
  <c r="U229" i="4" s="1"/>
  <c r="V229" i="4" s="1"/>
  <c r="W229" i="4" s="1"/>
  <c r="J228" i="4"/>
  <c r="B228" i="4"/>
  <c r="O33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S206" i="4"/>
  <c r="R206" i="4"/>
  <c r="J203" i="4"/>
  <c r="B203" i="4"/>
  <c r="O326" i="4"/>
  <c r="O325" i="4"/>
  <c r="O324" i="4"/>
  <c r="O323" i="4"/>
  <c r="O328" i="4"/>
  <c r="O329" i="4"/>
  <c r="O335" i="4"/>
  <c r="O313" i="4"/>
  <c r="O314" i="4"/>
  <c r="O315" i="4"/>
  <c r="O316" i="4"/>
  <c r="O317" i="4"/>
  <c r="O309" i="4"/>
  <c r="O312" i="4"/>
  <c r="O318" i="4"/>
  <c r="O319" i="4"/>
  <c r="O320" i="4"/>
  <c r="O321" i="4"/>
  <c r="O322" i="4"/>
  <c r="O308" i="4"/>
  <c r="O307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J223" i="4"/>
  <c r="B223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T220" i="4"/>
  <c r="U220" i="4" s="1"/>
  <c r="R221" i="4"/>
  <c r="T219" i="4"/>
  <c r="U219" i="4" s="1"/>
  <c r="V219" i="4" s="1"/>
  <c r="W219" i="4" s="1"/>
  <c r="J218" i="4"/>
  <c r="B218" i="4"/>
  <c r="V244" i="4"/>
  <c r="W244" i="4" s="1"/>
  <c r="W239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J243" i="4"/>
  <c r="B243" i="4"/>
  <c r="J241" i="4"/>
  <c r="I241" i="4"/>
  <c r="H241" i="4"/>
  <c r="G241" i="4"/>
  <c r="F241" i="4"/>
  <c r="E241" i="4"/>
  <c r="D241" i="4"/>
  <c r="C241" i="4"/>
  <c r="B241" i="4"/>
  <c r="J238" i="4"/>
  <c r="B238" i="4"/>
  <c r="L189" i="4"/>
  <c r="M189" i="4" s="1"/>
  <c r="R324" i="4"/>
  <c r="R325" i="4"/>
  <c r="R326" i="4"/>
  <c r="R327" i="4"/>
  <c r="R328" i="4"/>
  <c r="R329" i="4"/>
  <c r="S190" i="4"/>
  <c r="T190" i="4" s="1"/>
  <c r="U190" i="4" s="1"/>
  <c r="J191" i="4"/>
  <c r="I191" i="4"/>
  <c r="H191" i="4"/>
  <c r="G191" i="4"/>
  <c r="F191" i="4"/>
  <c r="E191" i="4"/>
  <c r="D191" i="4"/>
  <c r="C191" i="4"/>
  <c r="B191" i="4"/>
  <c r="J188" i="4"/>
  <c r="B188" i="4"/>
  <c r="S195" i="4"/>
  <c r="T195" i="4" s="1"/>
  <c r="S194" i="4"/>
  <c r="T194" i="4" s="1"/>
  <c r="U194" i="4" s="1"/>
  <c r="V194" i="4" s="1"/>
  <c r="W194" i="4" s="1"/>
  <c r="X194" i="4" s="1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J193" i="4"/>
  <c r="B193" i="4"/>
  <c r="B208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S210" i="4"/>
  <c r="T210" i="4" s="1"/>
  <c r="S209" i="4"/>
  <c r="J208" i="4"/>
  <c r="A2" i="4"/>
  <c r="B133" i="4"/>
  <c r="B4" i="3"/>
  <c r="AD4" i="3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J133" i="4"/>
  <c r="N4" i="3"/>
  <c r="M4" i="3" s="1"/>
  <c r="G4" i="3" s="1"/>
  <c r="J4" i="3"/>
  <c r="K4" i="3"/>
  <c r="V4" i="3" s="1"/>
  <c r="I4" i="3"/>
  <c r="B113" i="4"/>
  <c r="C35" i="6"/>
  <c r="M18" i="6"/>
  <c r="C184" i="6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5" i="4"/>
  <c r="T116" i="4" s="1"/>
  <c r="J113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T160" i="4"/>
  <c r="S161" i="4" s="1"/>
  <c r="X159" i="4"/>
  <c r="L158" i="4"/>
  <c r="J158" i="4" s="1"/>
  <c r="B47" i="1"/>
  <c r="C27" i="1" s="1"/>
  <c r="D29" i="1"/>
  <c r="B29" i="4"/>
  <c r="C29" i="4"/>
  <c r="D29" i="4"/>
  <c r="E29" i="4"/>
  <c r="F29" i="4"/>
  <c r="G29" i="4"/>
  <c r="H29" i="4"/>
  <c r="D26" i="4" s="1"/>
  <c r="F26" i="4" s="1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J26" i="4"/>
  <c r="B34" i="4"/>
  <c r="C34" i="4"/>
  <c r="D34" i="4"/>
  <c r="E34" i="4"/>
  <c r="F34" i="4"/>
  <c r="G34" i="4"/>
  <c r="H34" i="4"/>
  <c r="D31" i="4" s="1"/>
  <c r="F31" i="4" s="1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J31" i="4"/>
  <c r="B39" i="4"/>
  <c r="C39" i="4"/>
  <c r="D39" i="4"/>
  <c r="E39" i="4"/>
  <c r="F39" i="4"/>
  <c r="G39" i="4"/>
  <c r="H39" i="4"/>
  <c r="D36" i="4" s="1"/>
  <c r="F36" i="4" s="1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J3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J41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J46" i="4"/>
  <c r="B54" i="4"/>
  <c r="C54" i="4"/>
  <c r="D54" i="4"/>
  <c r="E54" i="4"/>
  <c r="F54" i="4"/>
  <c r="G54" i="4"/>
  <c r="D51" i="4" s="1"/>
  <c r="F51" i="4" s="1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J5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J56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J61" i="4"/>
  <c r="B70" i="4"/>
  <c r="C70" i="4"/>
  <c r="D70" i="4"/>
  <c r="E70" i="4"/>
  <c r="F70" i="4"/>
  <c r="G70" i="4"/>
  <c r="H70" i="4"/>
  <c r="D67" i="4" s="1"/>
  <c r="F67" i="4" s="1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J67" i="4"/>
  <c r="B75" i="4"/>
  <c r="C75" i="4"/>
  <c r="D75" i="4"/>
  <c r="E75" i="4"/>
  <c r="F75" i="4"/>
  <c r="G75" i="4"/>
  <c r="H75" i="4"/>
  <c r="D72" i="4" s="1"/>
  <c r="F72" i="4" s="1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J72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J77" i="4"/>
  <c r="C84" i="4"/>
  <c r="B84" i="4"/>
  <c r="D84" i="4"/>
  <c r="C85" i="4" s="1"/>
  <c r="E84" i="4"/>
  <c r="F84" i="4"/>
  <c r="G84" i="4"/>
  <c r="H84" i="4"/>
  <c r="G85" i="4" s="1"/>
  <c r="I84" i="4"/>
  <c r="I85" i="4" s="1"/>
  <c r="J84" i="4"/>
  <c r="K84" i="4"/>
  <c r="L84" i="4"/>
  <c r="M84" i="4"/>
  <c r="N84" i="4"/>
  <c r="O84" i="4"/>
  <c r="P84" i="4"/>
  <c r="P85" i="4" s="1"/>
  <c r="Q84" i="4"/>
  <c r="Q85" i="4" s="1"/>
  <c r="R84" i="4"/>
  <c r="S84" i="4"/>
  <c r="T84" i="4"/>
  <c r="U84" i="4"/>
  <c r="V84" i="4"/>
  <c r="W84" i="4"/>
  <c r="V85" i="4" s="1"/>
  <c r="X84" i="4"/>
  <c r="X85" i="4" s="1"/>
  <c r="H82" i="4"/>
  <c r="J82" i="4" s="1"/>
  <c r="L82" i="4"/>
  <c r="C89" i="4"/>
  <c r="B89" i="4"/>
  <c r="D89" i="4"/>
  <c r="E89" i="4"/>
  <c r="F89" i="4"/>
  <c r="G89" i="4"/>
  <c r="G90" i="4" s="1"/>
  <c r="H89" i="4"/>
  <c r="I89" i="4"/>
  <c r="J89" i="4"/>
  <c r="K89" i="4"/>
  <c r="L89" i="4"/>
  <c r="M89" i="4"/>
  <c r="N89" i="4"/>
  <c r="O89" i="4"/>
  <c r="O90" i="4" s="1"/>
  <c r="P89" i="4"/>
  <c r="Q89" i="4"/>
  <c r="R89" i="4"/>
  <c r="S89" i="4"/>
  <c r="T89" i="4"/>
  <c r="U89" i="4"/>
  <c r="V89" i="4"/>
  <c r="W89" i="4"/>
  <c r="V90" i="4" s="1"/>
  <c r="X89" i="4"/>
  <c r="H87" i="4"/>
  <c r="J87" i="4" s="1"/>
  <c r="L87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T110" i="4"/>
  <c r="S111" i="4" s="1"/>
  <c r="J108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T120" i="4"/>
  <c r="S121" i="4" s="1"/>
  <c r="J118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J138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J143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J148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J153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J163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J168" i="4"/>
  <c r="B176" i="4"/>
  <c r="C176" i="4"/>
  <c r="D176" i="4"/>
  <c r="E176" i="4"/>
  <c r="F176" i="4"/>
  <c r="D173" i="4" s="1"/>
  <c r="F173" i="4" s="1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J173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J178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T185" i="4"/>
  <c r="U185" i="4" s="1"/>
  <c r="X184" i="4"/>
  <c r="L183" i="4"/>
  <c r="J183" i="4" s="1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J213" i="4"/>
  <c r="B256" i="4"/>
  <c r="D253" i="4" s="1"/>
  <c r="F253" i="4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J253" i="4"/>
  <c r="B261" i="4"/>
  <c r="C261" i="4"/>
  <c r="D258" i="4" s="1"/>
  <c r="F258" i="4" s="1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J258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J264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J269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J274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J279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J284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J289" i="4"/>
  <c r="B297" i="4"/>
  <c r="D294" i="4" s="1"/>
  <c r="F294" i="4" s="1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J294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J299" i="4"/>
  <c r="A306" i="4"/>
  <c r="B26" i="4"/>
  <c r="N26" i="4"/>
  <c r="B31" i="4"/>
  <c r="N31" i="4"/>
  <c r="B36" i="4"/>
  <c r="N36" i="4"/>
  <c r="B41" i="4"/>
  <c r="N41" i="4"/>
  <c r="B46" i="4"/>
  <c r="N46" i="4"/>
  <c r="B51" i="4"/>
  <c r="N51" i="4"/>
  <c r="B56" i="4"/>
  <c r="N56" i="4"/>
  <c r="B61" i="4"/>
  <c r="N61" i="4"/>
  <c r="B67" i="4"/>
  <c r="B72" i="4"/>
  <c r="B77" i="4"/>
  <c r="B82" i="4"/>
  <c r="B87" i="4"/>
  <c r="B108" i="4"/>
  <c r="B118" i="4"/>
  <c r="B138" i="4"/>
  <c r="B143" i="4"/>
  <c r="B148" i="4"/>
  <c r="B153" i="4"/>
  <c r="B158" i="4"/>
  <c r="B163" i="4"/>
  <c r="B168" i="4"/>
  <c r="B173" i="4"/>
  <c r="B178" i="4"/>
  <c r="B183" i="4"/>
  <c r="B213" i="4"/>
  <c r="B253" i="4"/>
  <c r="B258" i="4"/>
  <c r="B264" i="4"/>
  <c r="B269" i="4"/>
  <c r="B274" i="4"/>
  <c r="B279" i="4"/>
  <c r="B284" i="4"/>
  <c r="B289" i="4"/>
  <c r="B294" i="4"/>
  <c r="B299" i="4"/>
  <c r="E116" i="7"/>
  <c r="F94" i="7"/>
  <c r="F85" i="7"/>
  <c r="H118" i="7"/>
  <c r="H111" i="7"/>
  <c r="E102" i="7"/>
  <c r="E103" i="7"/>
  <c r="E104" i="7"/>
  <c r="E100" i="7"/>
  <c r="H105" i="7"/>
  <c r="J105" i="7"/>
  <c r="J101" i="7"/>
  <c r="J97" i="7"/>
  <c r="F97" i="7"/>
  <c r="J88" i="7"/>
  <c r="J84" i="7"/>
  <c r="F90" i="7"/>
  <c r="F82" i="7"/>
  <c r="D85" i="7"/>
  <c r="D83" i="7"/>
  <c r="D81" i="7"/>
  <c r="D80" i="7"/>
  <c r="B19" i="6"/>
  <c r="F311" i="4"/>
  <c r="F310" i="4"/>
  <c r="C21" i="5"/>
  <c r="C20" i="5"/>
  <c r="C26" i="5"/>
  <c r="C22" i="5"/>
  <c r="C17" i="5"/>
  <c r="C19" i="5"/>
  <c r="C16" i="5"/>
  <c r="C15" i="5"/>
  <c r="L2" i="6"/>
  <c r="C307" i="4"/>
  <c r="F307" i="4"/>
  <c r="R307" i="4"/>
  <c r="C308" i="4"/>
  <c r="F308" i="4"/>
  <c r="R308" i="4"/>
  <c r="C309" i="4"/>
  <c r="F309" i="4"/>
  <c r="C310" i="4"/>
  <c r="C311" i="4"/>
  <c r="C312" i="4"/>
  <c r="C313" i="4"/>
  <c r="C314" i="4"/>
  <c r="B146" i="2"/>
  <c r="B35" i="1"/>
  <c r="B36" i="6"/>
  <c r="B15" i="8"/>
  <c r="B76" i="2"/>
  <c r="B11" i="8"/>
  <c r="B107" i="1"/>
  <c r="F42" i="5"/>
  <c r="B71" i="8"/>
  <c r="B78" i="8"/>
  <c r="B79" i="8" s="1"/>
  <c r="C5" i="8"/>
  <c r="B76" i="8"/>
  <c r="B77" i="8" s="1"/>
  <c r="B74" i="8"/>
  <c r="B73" i="8"/>
  <c r="B10" i="8"/>
  <c r="C4" i="8"/>
  <c r="C16" i="8"/>
  <c r="C14" i="8"/>
  <c r="C12" i="8"/>
  <c r="B12" i="8"/>
  <c r="C9" i="8"/>
  <c r="C8" i="8"/>
  <c r="B8" i="8"/>
  <c r="C7" i="8"/>
  <c r="N36" i="6"/>
  <c r="C50" i="5"/>
  <c r="C52" i="5"/>
  <c r="T18" i="6"/>
  <c r="S17" i="6"/>
  <c r="S19" i="6"/>
  <c r="S18" i="6"/>
  <c r="S13" i="6"/>
  <c r="S14" i="6"/>
  <c r="S12" i="6"/>
  <c r="T16" i="6"/>
  <c r="T11" i="6"/>
  <c r="L38" i="6"/>
  <c r="B93" i="1"/>
  <c r="B79" i="2"/>
  <c r="H64" i="7"/>
  <c r="H63" i="7" s="1"/>
  <c r="E59" i="7"/>
  <c r="E55" i="7"/>
  <c r="H52" i="7"/>
  <c r="E45" i="7"/>
  <c r="D45" i="7"/>
  <c r="E44" i="7"/>
  <c r="D44" i="7"/>
  <c r="E46" i="7"/>
  <c r="D46" i="7"/>
  <c r="E43" i="7"/>
  <c r="D43" i="7"/>
  <c r="E41" i="7"/>
  <c r="E50" i="7"/>
  <c r="E48" i="7"/>
  <c r="E47" i="7"/>
  <c r="H50" i="7"/>
  <c r="E51" i="7"/>
  <c r="C31" i="7"/>
  <c r="C5" i="5"/>
  <c r="C6" i="5"/>
  <c r="C7" i="5"/>
  <c r="C8" i="5"/>
  <c r="C10" i="5"/>
  <c r="C11" i="5"/>
  <c r="C12" i="5"/>
  <c r="C13" i="5"/>
  <c r="C23" i="5"/>
  <c r="C25" i="5"/>
  <c r="C28" i="5"/>
  <c r="C33" i="5"/>
  <c r="F34" i="5"/>
  <c r="F35" i="5"/>
  <c r="F36" i="5"/>
  <c r="F37" i="5"/>
  <c r="F38" i="5"/>
  <c r="F39" i="5"/>
  <c r="F40" i="5"/>
  <c r="C51" i="5"/>
  <c r="A1" i="4"/>
  <c r="A3" i="4"/>
  <c r="A4" i="4"/>
  <c r="B77" i="2"/>
  <c r="B78" i="2"/>
  <c r="B131" i="2"/>
  <c r="B133" i="2"/>
  <c r="B134" i="2"/>
  <c r="B135" i="2"/>
  <c r="B137" i="2"/>
  <c r="B138" i="2"/>
  <c r="B140" i="2"/>
  <c r="B141" i="2"/>
  <c r="B144" i="2"/>
  <c r="C4" i="1"/>
  <c r="C6" i="1"/>
  <c r="C7" i="1"/>
  <c r="C23" i="1" s="1"/>
  <c r="B8" i="1"/>
  <c r="C8" i="1"/>
  <c r="C9" i="1"/>
  <c r="B10" i="1"/>
  <c r="B11" i="1"/>
  <c r="C11" i="1"/>
  <c r="C13" i="1"/>
  <c r="C17" i="1"/>
  <c r="B18" i="1"/>
  <c r="B19" i="1"/>
  <c r="C22" i="1"/>
  <c r="G22" i="1"/>
  <c r="H22" i="1"/>
  <c r="J22" i="1"/>
  <c r="K22" i="1"/>
  <c r="F23" i="1"/>
  <c r="B24" i="1"/>
  <c r="F24" i="1"/>
  <c r="B26" i="1"/>
  <c r="F25" i="1"/>
  <c r="H25" i="1"/>
  <c r="F27" i="1"/>
  <c r="B29" i="1"/>
  <c r="F28" i="1"/>
  <c r="B30" i="1"/>
  <c r="B31" i="1"/>
  <c r="H31" i="1"/>
  <c r="B32" i="1"/>
  <c r="F32" i="1"/>
  <c r="B33" i="1"/>
  <c r="F33" i="1"/>
  <c r="F34" i="1"/>
  <c r="A38" i="1"/>
  <c r="F38" i="1"/>
  <c r="H38" i="1"/>
  <c r="J38" i="1"/>
  <c r="K38" i="1"/>
  <c r="F40" i="1"/>
  <c r="M40" i="1"/>
  <c r="F41" i="1"/>
  <c r="B42" i="1"/>
  <c r="F42" i="1"/>
  <c r="F43" i="1"/>
  <c r="B44" i="1"/>
  <c r="F45" i="1"/>
  <c r="F46" i="1"/>
  <c r="F47" i="1"/>
  <c r="L47" i="1"/>
  <c r="F48" i="1"/>
  <c r="H48" i="1"/>
  <c r="F49" i="1"/>
  <c r="I49" i="1"/>
  <c r="L49" i="1"/>
  <c r="M49" i="1"/>
  <c r="B102" i="1"/>
  <c r="B109" i="1"/>
  <c r="B110" i="1"/>
  <c r="B111" i="1"/>
  <c r="B112" i="1"/>
  <c r="B113" i="1"/>
  <c r="B117" i="1"/>
  <c r="C140" i="1"/>
  <c r="C142" i="1"/>
  <c r="C144" i="1"/>
  <c r="B148" i="1"/>
  <c r="B149" i="1" s="1"/>
  <c r="C4" i="6"/>
  <c r="C6" i="6"/>
  <c r="L6" i="6"/>
  <c r="C7" i="6"/>
  <c r="L7" i="6"/>
  <c r="B8" i="6"/>
  <c r="L8" i="6"/>
  <c r="L9" i="6"/>
  <c r="B11" i="6"/>
  <c r="M11" i="6"/>
  <c r="N11" i="6"/>
  <c r="P11" i="6"/>
  <c r="B12" i="6"/>
  <c r="L12" i="6"/>
  <c r="B13" i="6"/>
  <c r="L13" i="6"/>
  <c r="B14" i="6"/>
  <c r="L14" i="6"/>
  <c r="L15" i="6"/>
  <c r="C16" i="6"/>
  <c r="B18" i="6"/>
  <c r="L18" i="6"/>
  <c r="L19" i="6"/>
  <c r="C20" i="6"/>
  <c r="L20" i="6"/>
  <c r="B21" i="6"/>
  <c r="L21" i="6"/>
  <c r="B22" i="6"/>
  <c r="L22" i="6"/>
  <c r="B23" i="6"/>
  <c r="D25" i="6"/>
  <c r="F26" i="6"/>
  <c r="H26" i="6"/>
  <c r="E27" i="6"/>
  <c r="F28" i="6"/>
  <c r="F29" i="6"/>
  <c r="F30" i="6"/>
  <c r="E31" i="6"/>
  <c r="E32" i="6"/>
  <c r="D35" i="6"/>
  <c r="B91" i="6"/>
  <c r="B96" i="6"/>
  <c r="B103" i="6"/>
  <c r="B104" i="6"/>
  <c r="B105" i="6"/>
  <c r="B107" i="6"/>
  <c r="B108" i="6"/>
  <c r="B109" i="6"/>
  <c r="B114" i="6"/>
  <c r="B115" i="6"/>
  <c r="B117" i="6"/>
  <c r="B118" i="6"/>
  <c r="B119" i="6"/>
  <c r="B121" i="6"/>
  <c r="C124" i="6"/>
  <c r="E124" i="6"/>
  <c r="C125" i="6"/>
  <c r="C126" i="6" s="1"/>
  <c r="C127" i="6" s="1"/>
  <c r="D125" i="6"/>
  <c r="E125" i="6" s="1"/>
  <c r="C130" i="6"/>
  <c r="C131" i="6"/>
  <c r="E131" i="6"/>
  <c r="B137" i="6"/>
  <c r="B140" i="6"/>
  <c r="B143" i="6"/>
  <c r="B146" i="6"/>
  <c r="B155" i="6"/>
  <c r="E175" i="6"/>
  <c r="C176" i="6"/>
  <c r="F176" i="6"/>
  <c r="G176" i="6"/>
  <c r="H176" i="6"/>
  <c r="C177" i="6"/>
  <c r="F177" i="6"/>
  <c r="G177" i="6"/>
  <c r="H177" i="6"/>
  <c r="C178" i="6"/>
  <c r="F178" i="6"/>
  <c r="G178" i="6"/>
  <c r="H178" i="6"/>
  <c r="C179" i="6"/>
  <c r="F179" i="6"/>
  <c r="G179" i="6"/>
  <c r="H179" i="6"/>
  <c r="C180" i="6"/>
  <c r="D180" i="6"/>
  <c r="E180" i="6" s="1"/>
  <c r="F180" i="6"/>
  <c r="G180" i="6"/>
  <c r="H180" i="6"/>
  <c r="U120" i="4"/>
  <c r="V120" i="4" s="1"/>
  <c r="W120" i="4" s="1"/>
  <c r="X120" i="4" s="1"/>
  <c r="U110" i="4"/>
  <c r="V110" i="4" s="1"/>
  <c r="U85" i="4"/>
  <c r="S85" i="4"/>
  <c r="M85" i="4"/>
  <c r="K85" i="4"/>
  <c r="R211" i="4"/>
  <c r="D223" i="4"/>
  <c r="F223" i="4" s="1"/>
  <c r="V115" i="4"/>
  <c r="U116" i="4" s="1"/>
  <c r="U90" i="4"/>
  <c r="S90" i="4"/>
  <c r="M90" i="4"/>
  <c r="K90" i="4"/>
  <c r="E90" i="4"/>
  <c r="T209" i="4"/>
  <c r="U209" i="4" s="1"/>
  <c r="V209" i="4"/>
  <c r="W209" i="4"/>
  <c r="D213" i="4"/>
  <c r="F213" i="4" s="1"/>
  <c r="E85" i="4"/>
  <c r="N85" i="4"/>
  <c r="J85" i="4"/>
  <c r="F85" i="4"/>
  <c r="B85" i="4"/>
  <c r="X90" i="4"/>
  <c r="T90" i="4"/>
  <c r="R90" i="4"/>
  <c r="P90" i="4"/>
  <c r="L90" i="4"/>
  <c r="J90" i="4"/>
  <c r="D77" i="4"/>
  <c r="F77" i="4" s="1"/>
  <c r="D56" i="4"/>
  <c r="F56" i="4" s="1"/>
  <c r="D46" i="4"/>
  <c r="F46" i="4" s="1"/>
  <c r="D41" i="4"/>
  <c r="F41" i="4" s="1"/>
  <c r="U160" i="4"/>
  <c r="T161" i="4" s="1"/>
  <c r="R196" i="4"/>
  <c r="K191" i="4"/>
  <c r="T206" i="4"/>
  <c r="B189" i="6"/>
  <c r="S221" i="4"/>
  <c r="N189" i="4"/>
  <c r="O189" i="4" s="1"/>
  <c r="L191" i="4"/>
  <c r="S246" i="4"/>
  <c r="L241" i="4"/>
  <c r="K241" i="4"/>
  <c r="R246" i="4"/>
  <c r="W115" i="4"/>
  <c r="V116" i="4" s="1"/>
  <c r="U206" i="4"/>
  <c r="M241" i="4"/>
  <c r="V245" i="4"/>
  <c r="W245" i="4" s="1"/>
  <c r="T246" i="4"/>
  <c r="V206" i="4"/>
  <c r="N241" i="4"/>
  <c r="X240" i="4"/>
  <c r="W206" i="4"/>
  <c r="X206" i="4"/>
  <c r="O241" i="4"/>
  <c r="P241" i="4"/>
  <c r="Q241" i="4"/>
  <c r="R241" i="4"/>
  <c r="S241" i="4"/>
  <c r="T241" i="4"/>
  <c r="U241" i="4"/>
  <c r="X239" i="4"/>
  <c r="V241" i="4"/>
  <c r="C197" i="6"/>
  <c r="B197" i="6" s="1"/>
  <c r="W130" i="4"/>
  <c r="U125" i="4"/>
  <c r="V125" i="4" s="1"/>
  <c r="W125" i="4" s="1"/>
  <c r="V126" i="4" s="1"/>
  <c r="V131" i="4"/>
  <c r="X130" i="4"/>
  <c r="X131" i="4" s="1"/>
  <c r="C198" i="6"/>
  <c r="B75" i="8"/>
  <c r="P14" i="6"/>
  <c r="H41" i="7" s="1"/>
  <c r="P15" i="6"/>
  <c r="E108" i="7" s="1"/>
  <c r="E29" i="1"/>
  <c r="I71" i="7"/>
  <c r="B2" i="4"/>
  <c r="S186" i="4"/>
  <c r="B186" i="6"/>
  <c r="L4" i="3"/>
  <c r="B202" i="6"/>
  <c r="S201" i="4"/>
  <c r="R201" i="4"/>
  <c r="W110" i="4"/>
  <c r="U111" i="4"/>
  <c r="V220" i="4"/>
  <c r="W220" i="4" s="1"/>
  <c r="T221" i="4"/>
  <c r="V234" i="4"/>
  <c r="W234" i="4" s="1"/>
  <c r="X234" i="4" s="1"/>
  <c r="V185" i="4"/>
  <c r="W185" i="4" s="1"/>
  <c r="X185" i="4" s="1"/>
  <c r="W186" i="4" s="1"/>
  <c r="T186" i="4"/>
  <c r="V190" i="4"/>
  <c r="S231" i="4"/>
  <c r="N191" i="4"/>
  <c r="P189" i="4"/>
  <c r="Q189" i="4" s="1"/>
  <c r="U210" i="4"/>
  <c r="T211" i="4" s="1"/>
  <c r="S211" i="4"/>
  <c r="M191" i="4"/>
  <c r="T111" i="4"/>
  <c r="T201" i="4"/>
  <c r="V210" i="4"/>
  <c r="U211" i="4" s="1"/>
  <c r="U221" i="4"/>
  <c r="X125" i="4"/>
  <c r="W126" i="4" s="1"/>
  <c r="T231" i="4"/>
  <c r="V230" i="4"/>
  <c r="U201" i="4"/>
  <c r="X200" i="4"/>
  <c r="X201" i="4" s="1"/>
  <c r="V201" i="4"/>
  <c r="W201" i="4"/>
  <c r="X100" i="4"/>
  <c r="L105" i="4"/>
  <c r="C105" i="4"/>
  <c r="G105" i="4"/>
  <c r="K105" i="4"/>
  <c r="O105" i="4"/>
  <c r="S100" i="4"/>
  <c r="U100" i="4"/>
  <c r="D92" i="4"/>
  <c r="F92" i="4"/>
  <c r="H100" i="4"/>
  <c r="Q100" i="4"/>
  <c r="Q105" i="4"/>
  <c r="B143" i="1"/>
  <c r="B142" i="1"/>
  <c r="B146" i="1"/>
  <c r="B144" i="1"/>
  <c r="B141" i="1"/>
  <c r="B145" i="1"/>
  <c r="B140" i="1"/>
  <c r="C146" i="1"/>
  <c r="C147" i="1" s="1"/>
  <c r="C141" i="1"/>
  <c r="C143" i="1"/>
  <c r="C139" i="1"/>
  <c r="C138" i="1"/>
  <c r="B154" i="1"/>
  <c r="B150" i="1"/>
  <c r="B152" i="1"/>
  <c r="C149" i="1"/>
  <c r="B153" i="1"/>
  <c r="C151" i="1"/>
  <c r="B151" i="1"/>
  <c r="G4" i="4"/>
  <c r="P2" i="4"/>
  <c r="Y3" i="4"/>
  <c r="H3" i="4"/>
  <c r="W3" i="4"/>
  <c r="F4" i="4"/>
  <c r="V3" i="4"/>
  <c r="T3" i="4"/>
  <c r="L4" i="4"/>
  <c r="T2" i="4"/>
  <c r="Y4" i="4"/>
  <c r="B3" i="4"/>
  <c r="X3" i="4"/>
  <c r="I3" i="4"/>
  <c r="Q4" i="4"/>
  <c r="E4" i="4"/>
  <c r="D3" i="4"/>
  <c r="E3" i="4"/>
  <c r="U3" i="4"/>
  <c r="L2" i="4"/>
  <c r="P4" i="4"/>
  <c r="B4" i="4"/>
  <c r="Q3" i="4"/>
  <c r="N3" i="4"/>
  <c r="S3" i="4"/>
  <c r="J2" i="4"/>
  <c r="O4" i="4"/>
  <c r="X4" i="4"/>
  <c r="N4" i="4"/>
  <c r="G3" i="4"/>
  <c r="O3" i="4"/>
  <c r="V2" i="4"/>
  <c r="J4" i="4"/>
  <c r="H4" i="4"/>
  <c r="C4" i="4"/>
  <c r="S4" i="4"/>
  <c r="F3" i="4"/>
  <c r="X2" i="4"/>
  <c r="P3" i="4"/>
  <c r="K4" i="4"/>
  <c r="N2" i="4"/>
  <c r="C3" i="4"/>
  <c r="R3" i="4"/>
  <c r="M4" i="4"/>
  <c r="W4" i="4"/>
  <c r="U4" i="4"/>
  <c r="H4" i="3" l="1"/>
  <c r="B108" i="1"/>
  <c r="H17" i="7"/>
  <c r="B131" i="1"/>
  <c r="B106" i="1"/>
  <c r="H27" i="1"/>
  <c r="AE4" i="3"/>
  <c r="U195" i="4"/>
  <c r="T196" i="4" s="1"/>
  <c r="S196" i="4"/>
  <c r="X250" i="4"/>
  <c r="W251" i="4" s="1"/>
  <c r="V251" i="4"/>
  <c r="D128" i="4"/>
  <c r="D299" i="4"/>
  <c r="F299" i="4" s="1"/>
  <c r="D274" i="4"/>
  <c r="F274" i="4" s="1"/>
  <c r="E100" i="4"/>
  <c r="R100" i="4"/>
  <c r="H105" i="4"/>
  <c r="D102" i="4" s="1"/>
  <c r="F102" i="4" s="1"/>
  <c r="V105" i="4"/>
  <c r="D289" i="4"/>
  <c r="F289" i="4" s="1"/>
  <c r="D284" i="4"/>
  <c r="F284" i="4" s="1"/>
  <c r="D279" i="4"/>
  <c r="F279" i="4" s="1"/>
  <c r="D269" i="4"/>
  <c r="F269" i="4" s="1"/>
  <c r="D264" i="4"/>
  <c r="F264" i="4" s="1"/>
  <c r="D163" i="4"/>
  <c r="F163" i="4" s="1"/>
  <c r="D138" i="4"/>
  <c r="F138" i="4" s="1"/>
  <c r="O191" i="4"/>
  <c r="H85" i="4"/>
  <c r="O85" i="4"/>
  <c r="R231" i="4"/>
  <c r="J97" i="4"/>
  <c r="T100" i="4"/>
  <c r="I105" i="4"/>
  <c r="W105" i="4"/>
  <c r="X105" i="4"/>
  <c r="X115" i="4"/>
  <c r="I100" i="4"/>
  <c r="N100" i="4"/>
  <c r="D105" i="4"/>
  <c r="J105" i="4"/>
  <c r="R105" i="4"/>
  <c r="W210" i="4"/>
  <c r="V211" i="4" s="1"/>
  <c r="D61" i="4"/>
  <c r="F61" i="4" s="1"/>
  <c r="W131" i="4"/>
  <c r="D198" i="4"/>
  <c r="F198" i="4" s="1"/>
  <c r="W85" i="4"/>
  <c r="D148" i="4"/>
  <c r="F148" i="4" s="1"/>
  <c r="B90" i="4"/>
  <c r="R85" i="4"/>
  <c r="D133" i="4"/>
  <c r="F133" i="4" s="1"/>
  <c r="C100" i="4"/>
  <c r="J100" i="4"/>
  <c r="P100" i="4"/>
  <c r="E105" i="4"/>
  <c r="M105" i="4"/>
  <c r="S105" i="4"/>
  <c r="X241" i="4"/>
  <c r="D203" i="4"/>
  <c r="F203" i="4" s="1"/>
  <c r="H90" i="4"/>
  <c r="U251" i="4"/>
  <c r="D248" i="4" s="1"/>
  <c r="A307" i="4" a="1"/>
  <c r="A329" i="4" s="1"/>
  <c r="U121" i="4"/>
  <c r="V186" i="4"/>
  <c r="U186" i="4"/>
  <c r="V160" i="4"/>
  <c r="T121" i="4"/>
  <c r="D100" i="4"/>
  <c r="L100" i="4"/>
  <c r="N105" i="4"/>
  <c r="U105" i="4"/>
  <c r="C196" i="6"/>
  <c r="A335" i="4"/>
  <c r="A323" i="4"/>
  <c r="A316" i="4"/>
  <c r="A321" i="4"/>
  <c r="A327" i="4"/>
  <c r="E183" i="6"/>
  <c r="A319" i="4"/>
  <c r="A310" i="4"/>
  <c r="E192" i="6"/>
  <c r="A320" i="4"/>
  <c r="A308" i="4"/>
  <c r="A313" i="4"/>
  <c r="A331" i="4"/>
  <c r="A307" i="4"/>
  <c r="C182" i="6"/>
  <c r="E193" i="6"/>
  <c r="B201" i="6"/>
  <c r="C201" i="6" s="1"/>
  <c r="A333" i="4"/>
  <c r="A330" i="4"/>
  <c r="A309" i="4"/>
  <c r="E188" i="6"/>
  <c r="E191" i="6"/>
  <c r="A315" i="4"/>
  <c r="C195" i="6"/>
  <c r="E189" i="6"/>
  <c r="D30" i="1"/>
  <c r="E24" i="1"/>
  <c r="H67" i="7"/>
  <c r="B157" i="1"/>
  <c r="E8" i="7"/>
  <c r="H69" i="7"/>
  <c r="E127" i="7"/>
  <c r="D25" i="7"/>
  <c r="C173" i="6"/>
  <c r="T14" i="6"/>
  <c r="O24" i="6"/>
  <c r="O23" i="6"/>
  <c r="D179" i="6"/>
  <c r="E179" i="6" s="1"/>
  <c r="T17" i="6"/>
  <c r="C144" i="6"/>
  <c r="C147" i="6"/>
  <c r="C143" i="6"/>
  <c r="C141" i="6"/>
  <c r="E33" i="6"/>
  <c r="C138" i="6"/>
  <c r="C132" i="6"/>
  <c r="C133" i="6"/>
  <c r="C136" i="6"/>
  <c r="C137" i="6"/>
  <c r="C134" i="6"/>
  <c r="C145" i="6"/>
  <c r="C139" i="6"/>
  <c r="C135" i="6"/>
  <c r="T19" i="6"/>
  <c r="C148" i="6"/>
  <c r="M20" i="6"/>
  <c r="C142" i="6"/>
  <c r="C146" i="6"/>
  <c r="C140" i="6"/>
  <c r="E42" i="7"/>
  <c r="J90" i="7"/>
  <c r="F118" i="7" s="1"/>
  <c r="D177" i="6"/>
  <c r="E177" i="6" s="1"/>
  <c r="D178" i="6"/>
  <c r="E178" i="6" s="1"/>
  <c r="D176" i="6"/>
  <c r="E176" i="6" s="1"/>
  <c r="B67" i="8"/>
  <c r="C67" i="8" s="1"/>
  <c r="B56" i="8"/>
  <c r="C56" i="8" s="1"/>
  <c r="B58" i="8"/>
  <c r="C58" i="8" s="1"/>
  <c r="B60" i="8"/>
  <c r="C60" i="8" s="1"/>
  <c r="O21" i="6"/>
  <c r="B66" i="8"/>
  <c r="C66" i="8" s="1"/>
  <c r="B63" i="8"/>
  <c r="C63" i="8" s="1"/>
  <c r="B59" i="8"/>
  <c r="C59" i="8" s="1"/>
  <c r="B65" i="8"/>
  <c r="C65" i="8" s="1"/>
  <c r="B64" i="8"/>
  <c r="C64" i="8" s="1"/>
  <c r="C15" i="8"/>
  <c r="B57" i="8"/>
  <c r="C57" i="8" s="1"/>
  <c r="C14" i="1"/>
  <c r="B61" i="8"/>
  <c r="C61" i="8" s="1"/>
  <c r="O18" i="6"/>
  <c r="B52" i="8"/>
  <c r="C52" i="8" s="1"/>
  <c r="D26" i="7"/>
  <c r="E40" i="7"/>
  <c r="B54" i="8"/>
  <c r="C54" i="8" s="1"/>
  <c r="B62" i="8"/>
  <c r="C62" i="8" s="1"/>
  <c r="B55" i="8"/>
  <c r="C55" i="8" s="1"/>
  <c r="B51" i="8"/>
  <c r="C51" i="8" s="1"/>
  <c r="B53" i="8"/>
  <c r="C53" i="8" s="1"/>
  <c r="H27" i="6"/>
  <c r="H12" i="7" s="1"/>
  <c r="B50" i="8"/>
  <c r="C50" i="8" s="1"/>
  <c r="D126" i="6"/>
  <c r="E107" i="7"/>
  <c r="E11" i="7"/>
  <c r="E182" i="6"/>
  <c r="E186" i="6"/>
  <c r="B196" i="6"/>
  <c r="E185" i="6"/>
  <c r="E14" i="7"/>
  <c r="B199" i="6"/>
  <c r="B200" i="6"/>
  <c r="C200" i="6" s="1"/>
  <c r="C210" i="6"/>
  <c r="C207" i="6"/>
  <c r="C208" i="6"/>
  <c r="C205" i="6"/>
  <c r="C209" i="6"/>
  <c r="C206" i="6"/>
  <c r="B48" i="8"/>
  <c r="C48" i="8" s="1"/>
  <c r="B46" i="8"/>
  <c r="C46" i="8" s="1"/>
  <c r="B49" i="8"/>
  <c r="C49" i="8" s="1"/>
  <c r="D174" i="6"/>
  <c r="B45" i="8"/>
  <c r="C45" i="8" s="1"/>
  <c r="B42" i="8"/>
  <c r="C42" i="8" s="1"/>
  <c r="B41" i="8"/>
  <c r="C41" i="8" s="1"/>
  <c r="B43" i="8"/>
  <c r="C43" i="8" s="1"/>
  <c r="D172" i="6"/>
  <c r="B44" i="8"/>
  <c r="C44" i="8" s="1"/>
  <c r="B47" i="8"/>
  <c r="C47" i="8" s="1"/>
  <c r="D170" i="6"/>
  <c r="D171" i="6"/>
  <c r="D173" i="6"/>
  <c r="N13" i="6"/>
  <c r="A5" i="3"/>
  <c r="B5" i="3" s="1"/>
  <c r="M13" i="6"/>
  <c r="N14" i="6"/>
  <c r="N12" i="6"/>
  <c r="R189" i="4"/>
  <c r="P191" i="4"/>
  <c r="X186" i="4"/>
  <c r="D183" i="4" s="1"/>
  <c r="F183" i="4" s="1"/>
  <c r="W190" i="4"/>
  <c r="V246" i="4"/>
  <c r="X245" i="4"/>
  <c r="W230" i="4"/>
  <c r="U231" i="4"/>
  <c r="X220" i="4"/>
  <c r="V221" i="4"/>
  <c r="X126" i="4"/>
  <c r="X110" i="4"/>
  <c r="V111" i="4"/>
  <c r="U126" i="4"/>
  <c r="V121" i="4"/>
  <c r="X210" i="4"/>
  <c r="W121" i="4"/>
  <c r="X121" i="4"/>
  <c r="V195" i="4"/>
  <c r="H5" i="7"/>
  <c r="T126" i="4"/>
  <c r="W241" i="4"/>
  <c r="D238" i="4" s="1"/>
  <c r="F238" i="4" s="1"/>
  <c r="N90" i="4"/>
  <c r="AC4" i="3"/>
  <c r="U246" i="4"/>
  <c r="W90" i="4"/>
  <c r="X251" i="4"/>
  <c r="T235" i="4"/>
  <c r="R236" i="4"/>
  <c r="C10" i="8"/>
  <c r="F90" i="4"/>
  <c r="C90" i="4"/>
  <c r="D90" i="4"/>
  <c r="T85" i="4"/>
  <c r="L85" i="4"/>
  <c r="D85" i="4"/>
  <c r="D178" i="4"/>
  <c r="F178" i="4" s="1"/>
  <c r="D168" i="4"/>
  <c r="F168" i="4" s="1"/>
  <c r="D153" i="4"/>
  <c r="F153" i="4" s="1"/>
  <c r="D143" i="4"/>
  <c r="F143" i="4" s="1"/>
  <c r="Q90" i="4"/>
  <c r="I90" i="4"/>
  <c r="A328" i="4"/>
  <c r="A332" i="4"/>
  <c r="A322" i="4"/>
  <c r="D23" i="7"/>
  <c r="H42" i="7"/>
  <c r="W160" i="4"/>
  <c r="U161" i="4"/>
  <c r="B187" i="6"/>
  <c r="B100" i="4"/>
  <c r="F100" i="4"/>
  <c r="W100" i="4"/>
  <c r="H46" i="1"/>
  <c r="E187" i="6"/>
  <c r="K3" i="4"/>
  <c r="I4" i="4"/>
  <c r="L3" i="4"/>
  <c r="V4" i="4"/>
  <c r="R2" i="4"/>
  <c r="T4" i="4"/>
  <c r="R4" i="4"/>
  <c r="M3" i="4"/>
  <c r="D2" i="4"/>
  <c r="H2" i="4"/>
  <c r="Z2" i="4"/>
  <c r="J3" i="4"/>
  <c r="D4" i="4"/>
  <c r="H18" i="7" l="1"/>
  <c r="F107" i="1"/>
  <c r="F106" i="1"/>
  <c r="F105" i="1"/>
  <c r="F103" i="1"/>
  <c r="F104" i="1"/>
  <c r="A312" i="4"/>
  <c r="A311" i="4"/>
  <c r="A317" i="4"/>
  <c r="A336" i="4"/>
  <c r="D97" i="4"/>
  <c r="F97" i="4" s="1"/>
  <c r="D82" i="4"/>
  <c r="A324" i="4"/>
  <c r="A325" i="4"/>
  <c r="A314" i="4"/>
  <c r="A326" i="4"/>
  <c r="A334" i="4"/>
  <c r="A318" i="4"/>
  <c r="W116" i="4"/>
  <c r="X116" i="4"/>
  <c r="D87" i="4"/>
  <c r="F87" i="4" s="1"/>
  <c r="I68" i="7"/>
  <c r="R27" i="1"/>
  <c r="K49" i="1"/>
  <c r="I16" i="7"/>
  <c r="D156" i="6"/>
  <c r="D162" i="6"/>
  <c r="E162" i="6" s="1"/>
  <c r="D160" i="6"/>
  <c r="E160" i="6" s="1"/>
  <c r="D159" i="6"/>
  <c r="E159" i="6" s="1"/>
  <c r="D161" i="6"/>
  <c r="E161" i="6" s="1"/>
  <c r="D158" i="6"/>
  <c r="E158" i="6" s="1"/>
  <c r="C166" i="6"/>
  <c r="C167" i="6"/>
  <c r="C163" i="6"/>
  <c r="S27" i="6"/>
  <c r="H45" i="7"/>
  <c r="D168" i="6"/>
  <c r="D169" i="6" s="1"/>
  <c r="E52" i="7"/>
  <c r="E56" i="7"/>
  <c r="E30" i="6"/>
  <c r="D141" i="6"/>
  <c r="D145" i="6"/>
  <c r="O20" i="6"/>
  <c r="D144" i="6"/>
  <c r="D137" i="6"/>
  <c r="D142" i="6"/>
  <c r="E53" i="7"/>
  <c r="D147" i="6"/>
  <c r="D146" i="6"/>
  <c r="D155" i="6"/>
  <c r="D148" i="6"/>
  <c r="D143" i="6"/>
  <c r="E34" i="6"/>
  <c r="D139" i="6"/>
  <c r="D157" i="6"/>
  <c r="D135" i="6"/>
  <c r="E135" i="6" s="1"/>
  <c r="W4" i="3"/>
  <c r="H51" i="7"/>
  <c r="D140" i="6"/>
  <c r="C168" i="6"/>
  <c r="C169" i="6" s="1"/>
  <c r="D136" i="6"/>
  <c r="E136" i="6" s="1"/>
  <c r="D134" i="6"/>
  <c r="E134" i="6" s="1"/>
  <c r="D132" i="6"/>
  <c r="E132" i="6" s="1"/>
  <c r="E57" i="7"/>
  <c r="D138" i="6"/>
  <c r="D133" i="6"/>
  <c r="E133" i="6" s="1"/>
  <c r="E126" i="6"/>
  <c r="D127" i="6"/>
  <c r="E18" i="7"/>
  <c r="C171" i="6"/>
  <c r="T12" i="6"/>
  <c r="N15" i="6"/>
  <c r="C174" i="6"/>
  <c r="E101" i="7"/>
  <c r="E49" i="7"/>
  <c r="T13" i="6"/>
  <c r="C170" i="6"/>
  <c r="D46" i="8"/>
  <c r="D54" i="8"/>
  <c r="D45" i="8"/>
  <c r="D55" i="8"/>
  <c r="D48" i="8"/>
  <c r="D58" i="8"/>
  <c r="D50" i="8"/>
  <c r="D65" i="8"/>
  <c r="M14" i="6"/>
  <c r="D57" i="8"/>
  <c r="D51" i="8"/>
  <c r="D41" i="8"/>
  <c r="D49" i="8"/>
  <c r="D66" i="8"/>
  <c r="D59" i="8"/>
  <c r="D67" i="8"/>
  <c r="D61" i="8"/>
  <c r="D47" i="8"/>
  <c r="D60" i="8"/>
  <c r="D42" i="8"/>
  <c r="D43" i="8"/>
  <c r="D56" i="8"/>
  <c r="D44" i="8"/>
  <c r="D62" i="8"/>
  <c r="D52" i="8"/>
  <c r="D64" i="8"/>
  <c r="D63" i="8"/>
  <c r="D53" i="8"/>
  <c r="M12" i="6"/>
  <c r="F82" i="4"/>
  <c r="D118" i="4"/>
  <c r="F118" i="4" s="1"/>
  <c r="X190" i="4"/>
  <c r="C24" i="1"/>
  <c r="I41" i="7"/>
  <c r="E110" i="7"/>
  <c r="V161" i="4"/>
  <c r="X160" i="4"/>
  <c r="U235" i="4"/>
  <c r="S236" i="4"/>
  <c r="V231" i="4"/>
  <c r="X230" i="4"/>
  <c r="P5" i="3"/>
  <c r="Q5" i="3" s="1"/>
  <c r="AD5" i="3"/>
  <c r="A6" i="3"/>
  <c r="B6" i="3" s="1"/>
  <c r="AA5" i="3"/>
  <c r="AC5" i="3"/>
  <c r="Z5" i="3"/>
  <c r="C204" i="6"/>
  <c r="X221" i="4"/>
  <c r="W221" i="4"/>
  <c r="D218" i="4" s="1"/>
  <c r="F218" i="4" s="1"/>
  <c r="D123" i="4"/>
  <c r="W246" i="4"/>
  <c r="D243" i="4" s="1"/>
  <c r="F243" i="4" s="1"/>
  <c r="X246" i="4"/>
  <c r="X111" i="4"/>
  <c r="W111" i="4"/>
  <c r="D108" i="4" s="1"/>
  <c r="S189" i="4"/>
  <c r="Q191" i="4"/>
  <c r="U196" i="4"/>
  <c r="W195" i="4"/>
  <c r="X211" i="4"/>
  <c r="W211" i="4"/>
  <c r="F2" i="4"/>
  <c r="D113" i="4" l="1"/>
  <c r="F113" i="4" s="1"/>
  <c r="D208" i="4"/>
  <c r="F208" i="4" s="1"/>
  <c r="I28" i="6"/>
  <c r="C191" i="6" s="1"/>
  <c r="D166" i="6"/>
  <c r="E166" i="6" s="1"/>
  <c r="D167" i="6"/>
  <c r="E167" i="6" s="1"/>
  <c r="D164" i="6"/>
  <c r="E164" i="6" s="1"/>
  <c r="D165" i="6"/>
  <c r="E165" i="6" s="1"/>
  <c r="D163" i="6"/>
  <c r="E163" i="6" s="1"/>
  <c r="E29" i="6"/>
  <c r="E28" i="6"/>
  <c r="E127" i="6"/>
  <c r="R5" i="3"/>
  <c r="P6" i="3"/>
  <c r="Q6" i="3" s="1"/>
  <c r="R6" i="3" s="1"/>
  <c r="AA6" i="3"/>
  <c r="A7" i="3"/>
  <c r="B7" i="3" s="1"/>
  <c r="AC6" i="3"/>
  <c r="Z6" i="3"/>
  <c r="AD6" i="3"/>
  <c r="F108" i="4"/>
  <c r="F56" i="8"/>
  <c r="I56" i="8" s="1"/>
  <c r="E56" i="8"/>
  <c r="F66" i="8"/>
  <c r="I66" i="8" s="1"/>
  <c r="E66" i="8"/>
  <c r="F58" i="8"/>
  <c r="I58" i="8" s="1"/>
  <c r="E58" i="8"/>
  <c r="V196" i="4"/>
  <c r="X195" i="4"/>
  <c r="F43" i="8"/>
  <c r="I43" i="8" s="1"/>
  <c r="E43" i="8"/>
  <c r="E49" i="8"/>
  <c r="F49" i="8"/>
  <c r="I49" i="8" s="1"/>
  <c r="E48" i="8"/>
  <c r="F48" i="8"/>
  <c r="I48" i="8" s="1"/>
  <c r="F53" i="8"/>
  <c r="I53" i="8" s="1"/>
  <c r="E53" i="8"/>
  <c r="F42" i="8"/>
  <c r="I42" i="8" s="1"/>
  <c r="E42" i="8"/>
  <c r="F41" i="8"/>
  <c r="I41" i="8" s="1"/>
  <c r="E41" i="8"/>
  <c r="E55" i="8"/>
  <c r="F55" i="8"/>
  <c r="I55" i="8" s="1"/>
  <c r="F63" i="8"/>
  <c r="I63" i="8" s="1"/>
  <c r="E63" i="8"/>
  <c r="E60" i="8"/>
  <c r="F60" i="8"/>
  <c r="I60" i="8" s="1"/>
  <c r="F51" i="8"/>
  <c r="I51" i="8" s="1"/>
  <c r="E51" i="8"/>
  <c r="F45" i="8"/>
  <c r="I45" i="8" s="1"/>
  <c r="E45" i="8"/>
  <c r="I42" i="7"/>
  <c r="C150" i="6"/>
  <c r="F47" i="8"/>
  <c r="I47" i="8" s="1"/>
  <c r="E47" i="8"/>
  <c r="E54" i="8"/>
  <c r="F54" i="8"/>
  <c r="I54" i="8" s="1"/>
  <c r="F52" i="8"/>
  <c r="I52" i="8" s="1"/>
  <c r="E52" i="8"/>
  <c r="F61" i="8"/>
  <c r="I61" i="8" s="1"/>
  <c r="E61" i="8"/>
  <c r="F107" i="7"/>
  <c r="C10" i="1"/>
  <c r="S4" i="3" s="1"/>
  <c r="J41" i="7"/>
  <c r="E58" i="7"/>
  <c r="H65" i="7" s="1"/>
  <c r="C11" i="8"/>
  <c r="F46" i="8"/>
  <c r="I46" i="8" s="1"/>
  <c r="E46" i="8"/>
  <c r="E62" i="8"/>
  <c r="F62" i="8"/>
  <c r="I62" i="8" s="1"/>
  <c r="F67" i="8"/>
  <c r="I67" i="8" s="1"/>
  <c r="E67" i="8"/>
  <c r="F65" i="8"/>
  <c r="I65" i="8" s="1"/>
  <c r="E65" i="8"/>
  <c r="M15" i="6"/>
  <c r="W231" i="4"/>
  <c r="X231" i="4"/>
  <c r="D228" i="4" s="1"/>
  <c r="F228" i="4" s="1"/>
  <c r="X191" i="4"/>
  <c r="F64" i="8"/>
  <c r="I64" i="8" s="1"/>
  <c r="E64" i="8"/>
  <c r="F57" i="8"/>
  <c r="I57" i="8" s="1"/>
  <c r="E57" i="8"/>
  <c r="T189" i="4"/>
  <c r="R191" i="4"/>
  <c r="T236" i="4"/>
  <c r="V235" i="4"/>
  <c r="X161" i="4"/>
  <c r="W161" i="4"/>
  <c r="D158" i="4" s="1"/>
  <c r="F158" i="4" s="1"/>
  <c r="C30" i="1"/>
  <c r="H71" i="7"/>
  <c r="F44" i="8"/>
  <c r="I44" i="8" s="1"/>
  <c r="E44" i="8"/>
  <c r="E59" i="8"/>
  <c r="F59" i="8"/>
  <c r="I59" i="8" s="1"/>
  <c r="F50" i="8"/>
  <c r="I50" i="8" s="1"/>
  <c r="E50" i="8"/>
  <c r="D153" i="6" l="1"/>
  <c r="C192" i="6"/>
  <c r="C164" i="6"/>
  <c r="C165" i="6"/>
  <c r="M22" i="6"/>
  <c r="E35" i="6"/>
  <c r="O22" i="6" s="1"/>
  <c r="O19" i="6" s="1"/>
  <c r="H60" i="8"/>
  <c r="G60" i="8"/>
  <c r="H65" i="8"/>
  <c r="G65" i="8"/>
  <c r="H67" i="8"/>
  <c r="G67" i="8"/>
  <c r="Z7" i="3"/>
  <c r="A8" i="3"/>
  <c r="B8" i="3" s="1"/>
  <c r="AC7" i="3"/>
  <c r="AD7" i="3"/>
  <c r="P7" i="3"/>
  <c r="Q7" i="3" s="1"/>
  <c r="R7" i="3" s="1"/>
  <c r="AA7" i="3"/>
  <c r="H59" i="8"/>
  <c r="G59" i="8"/>
  <c r="W235" i="4"/>
  <c r="U236" i="4"/>
  <c r="U189" i="4"/>
  <c r="S191" i="4"/>
  <c r="G46" i="8"/>
  <c r="H46" i="8"/>
  <c r="H47" i="8"/>
  <c r="G47" i="8"/>
  <c r="H42" i="8"/>
  <c r="G42" i="8"/>
  <c r="G43" i="8"/>
  <c r="H43" i="8"/>
  <c r="H56" i="8"/>
  <c r="G56" i="8"/>
  <c r="H52" i="8"/>
  <c r="G52" i="8"/>
  <c r="J42" i="7"/>
  <c r="C149" i="6"/>
  <c r="C155" i="6"/>
  <c r="F108" i="7"/>
  <c r="T4" i="3"/>
  <c r="U4" i="3" s="1"/>
  <c r="S5" i="3"/>
  <c r="H55" i="8"/>
  <c r="G55" i="8"/>
  <c r="H48" i="8"/>
  <c r="G48" i="8"/>
  <c r="H44" i="8"/>
  <c r="G44" i="8"/>
  <c r="H57" i="8"/>
  <c r="G57" i="8"/>
  <c r="H53" i="8"/>
  <c r="G53" i="8"/>
  <c r="W196" i="4"/>
  <c r="X196" i="4"/>
  <c r="H64" i="8"/>
  <c r="G64" i="8"/>
  <c r="G45" i="8"/>
  <c r="H45" i="8"/>
  <c r="H58" i="8"/>
  <c r="G58" i="8"/>
  <c r="P28" i="1"/>
  <c r="K47" i="1"/>
  <c r="H16" i="7"/>
  <c r="P27" i="1"/>
  <c r="H68" i="7"/>
  <c r="H51" i="8"/>
  <c r="G51" i="8"/>
  <c r="G41" i="8"/>
  <c r="H41" i="8"/>
  <c r="H66" i="8"/>
  <c r="G66" i="8"/>
  <c r="H63" i="8"/>
  <c r="G63" i="8"/>
  <c r="H50" i="8"/>
  <c r="G50" i="8"/>
  <c r="H62" i="8"/>
  <c r="G62" i="8"/>
  <c r="H61" i="8"/>
  <c r="G61" i="8"/>
  <c r="H54" i="8"/>
  <c r="G54" i="8"/>
  <c r="H49" i="8"/>
  <c r="G49" i="8"/>
  <c r="D193" i="4" l="1"/>
  <c r="F193" i="4" s="1"/>
  <c r="H28" i="6"/>
  <c r="M19" i="6"/>
  <c r="K57" i="8"/>
  <c r="M57" i="8" s="1"/>
  <c r="K52" i="8"/>
  <c r="M52" i="8" s="1"/>
  <c r="K65" i="8"/>
  <c r="M65" i="8" s="1"/>
  <c r="J46" i="8"/>
  <c r="J42" i="8"/>
  <c r="J45" i="8"/>
  <c r="K44" i="8"/>
  <c r="M44" i="8" s="1"/>
  <c r="K60" i="8"/>
  <c r="M60" i="8" s="1"/>
  <c r="K54" i="8"/>
  <c r="M54" i="8" s="1"/>
  <c r="J53" i="8"/>
  <c r="J59" i="8"/>
  <c r="J67" i="8"/>
  <c r="J51" i="8"/>
  <c r="K62" i="8"/>
  <c r="M62" i="8" s="1"/>
  <c r="J61" i="8"/>
  <c r="J41" i="8"/>
  <c r="J58" i="8"/>
  <c r="J55" i="8"/>
  <c r="K47" i="8"/>
  <c r="M47" i="8" s="1"/>
  <c r="K67" i="8"/>
  <c r="M67" i="8" s="1"/>
  <c r="J64" i="8"/>
  <c r="J43" i="8"/>
  <c r="J56" i="8"/>
  <c r="J63" i="8"/>
  <c r="K49" i="8"/>
  <c r="M49" i="8" s="1"/>
  <c r="K50" i="8"/>
  <c r="M50" i="8" s="1"/>
  <c r="J66" i="8"/>
  <c r="K48" i="8"/>
  <c r="M48" i="8" s="1"/>
  <c r="P8" i="3"/>
  <c r="Q8" i="3" s="1"/>
  <c r="R8" i="3" s="1"/>
  <c r="Z8" i="3"/>
  <c r="AD8" i="3"/>
  <c r="AA8" i="3"/>
  <c r="AC8" i="3"/>
  <c r="A9" i="3"/>
  <c r="B9" i="3" s="1"/>
  <c r="J50" i="8"/>
  <c r="K61" i="8"/>
  <c r="M61" i="8" s="1"/>
  <c r="K66" i="8"/>
  <c r="M66" i="8" s="1"/>
  <c r="K58" i="8"/>
  <c r="M58" i="8" s="1"/>
  <c r="J57" i="8"/>
  <c r="K55" i="8"/>
  <c r="M55" i="8" s="1"/>
  <c r="K56" i="8"/>
  <c r="M56" i="8" s="1"/>
  <c r="J47" i="8"/>
  <c r="V236" i="4"/>
  <c r="X235" i="4"/>
  <c r="K53" i="8"/>
  <c r="M53" i="8" s="1"/>
  <c r="K59" i="8"/>
  <c r="M59" i="8" s="1"/>
  <c r="J65" i="8"/>
  <c r="T5" i="3"/>
  <c r="S6" i="3"/>
  <c r="K43" i="8"/>
  <c r="M43" i="8" s="1"/>
  <c r="K46" i="8"/>
  <c r="M46" i="8" s="1"/>
  <c r="J49" i="8"/>
  <c r="J62" i="8"/>
  <c r="K45" i="8"/>
  <c r="M45" i="8" s="1"/>
  <c r="J44" i="8"/>
  <c r="K63" i="8"/>
  <c r="M63" i="8" s="1"/>
  <c r="K41" i="8"/>
  <c r="M41" i="8" s="1"/>
  <c r="K42" i="8"/>
  <c r="M42" i="8" s="1"/>
  <c r="K51" i="8"/>
  <c r="M51" i="8" s="1"/>
  <c r="K64" i="8"/>
  <c r="M64" i="8" s="1"/>
  <c r="J60" i="8"/>
  <c r="V189" i="4"/>
  <c r="T191" i="4"/>
  <c r="J54" i="8"/>
  <c r="J48" i="8"/>
  <c r="J52" i="8"/>
  <c r="L54" i="8" l="1"/>
  <c r="L57" i="8"/>
  <c r="C194" i="6"/>
  <c r="C190" i="6"/>
  <c r="S28" i="6"/>
  <c r="C193" i="6"/>
  <c r="D152" i="6"/>
  <c r="H46" i="7"/>
  <c r="H13" i="7"/>
  <c r="L52" i="8"/>
  <c r="L65" i="8"/>
  <c r="L44" i="8"/>
  <c r="L50" i="8"/>
  <c r="L60" i="8"/>
  <c r="L43" i="8"/>
  <c r="L49" i="8"/>
  <c r="L67" i="8"/>
  <c r="L41" i="8"/>
  <c r="L56" i="8"/>
  <c r="L66" i="8"/>
  <c r="L58" i="8"/>
  <c r="L42" i="8"/>
  <c r="L62" i="8"/>
  <c r="L51" i="8"/>
  <c r="L48" i="8"/>
  <c r="L47" i="8"/>
  <c r="AD9" i="3"/>
  <c r="AC9" i="3"/>
  <c r="AA9" i="3"/>
  <c r="P9" i="3"/>
  <c r="Q9" i="3" s="1"/>
  <c r="R9" i="3" s="1"/>
  <c r="Z9" i="3"/>
  <c r="A10" i="3"/>
  <c r="B10" i="3" s="1"/>
  <c r="W189" i="4"/>
  <c r="U191" i="4"/>
  <c r="AH5" i="3"/>
  <c r="D5" i="3"/>
  <c r="AG5" i="3"/>
  <c r="E5" i="3"/>
  <c r="H5" i="3" s="1"/>
  <c r="L61" i="8"/>
  <c r="L46" i="8"/>
  <c r="L59" i="8"/>
  <c r="L64" i="8"/>
  <c r="W236" i="4"/>
  <c r="X236" i="4"/>
  <c r="D233" i="4" s="1"/>
  <c r="L55" i="8"/>
  <c r="L53" i="8"/>
  <c r="L63" i="8"/>
  <c r="S7" i="3"/>
  <c r="T6" i="3"/>
  <c r="L45" i="8"/>
  <c r="T7" i="3" l="1"/>
  <c r="S8" i="3"/>
  <c r="V191" i="4"/>
  <c r="W191" i="4"/>
  <c r="D188" i="4" s="1"/>
  <c r="K5" i="3"/>
  <c r="AA10" i="3"/>
  <c r="P10" i="3"/>
  <c r="Q10" i="3" s="1"/>
  <c r="R10" i="3" s="1"/>
  <c r="AD10" i="3"/>
  <c r="Z10" i="3"/>
  <c r="A11" i="3"/>
  <c r="B11" i="3" s="1"/>
  <c r="AC10" i="3"/>
  <c r="F5" i="3"/>
  <c r="G5" i="3"/>
  <c r="AC11" i="3" l="1"/>
  <c r="AD11" i="3"/>
  <c r="A12" i="3"/>
  <c r="B12" i="3" s="1"/>
  <c r="P11" i="3"/>
  <c r="Q11" i="3" s="1"/>
  <c r="R11" i="3" s="1"/>
  <c r="Z11" i="3"/>
  <c r="AA11" i="3"/>
  <c r="V5" i="3"/>
  <c r="AE5" i="3"/>
  <c r="F188" i="4"/>
  <c r="N34" i="1"/>
  <c r="M36" i="6"/>
  <c r="S9" i="3"/>
  <c r="T8" i="3"/>
  <c r="J5" i="3"/>
  <c r="I5" i="3"/>
  <c r="M5" i="3"/>
  <c r="N5" i="3" s="1"/>
  <c r="W5" i="3" l="1"/>
  <c r="P12" i="3"/>
  <c r="Q12" i="3" s="1"/>
  <c r="R12" i="3" s="1"/>
  <c r="Z12" i="3"/>
  <c r="A13" i="3"/>
  <c r="B13" i="3" s="1"/>
  <c r="AD12" i="3"/>
  <c r="AA12" i="3"/>
  <c r="AC12" i="3"/>
  <c r="L5" i="3"/>
  <c r="S10" i="3"/>
  <c r="T9" i="3"/>
  <c r="AG6" i="3" l="1"/>
  <c r="AH6" i="3"/>
  <c r="U5" i="3"/>
  <c r="E6" i="3" s="1"/>
  <c r="H6" i="3" s="1"/>
  <c r="AD13" i="3"/>
  <c r="P13" i="3"/>
  <c r="Q13" i="3" s="1"/>
  <c r="R13" i="3" s="1"/>
  <c r="AC13" i="3"/>
  <c r="Z13" i="3"/>
  <c r="A14" i="3"/>
  <c r="B14" i="3" s="1"/>
  <c r="AA13" i="3"/>
  <c r="T10" i="3"/>
  <c r="S11" i="3"/>
  <c r="AC14" i="3" l="1"/>
  <c r="AA14" i="3"/>
  <c r="Z14" i="3"/>
  <c r="AD14" i="3"/>
  <c r="A15" i="3"/>
  <c r="B15" i="3" s="1"/>
  <c r="P14" i="3"/>
  <c r="Q14" i="3" s="1"/>
  <c r="R14" i="3" s="1"/>
  <c r="K6" i="3"/>
  <c r="D6" i="3"/>
  <c r="S12" i="3"/>
  <c r="T11" i="3"/>
  <c r="P15" i="3" l="1"/>
  <c r="Q15" i="3" s="1"/>
  <c r="R15" i="3" s="1"/>
  <c r="AA15" i="3"/>
  <c r="Z15" i="3"/>
  <c r="AC15" i="3"/>
  <c r="AD15" i="3"/>
  <c r="A16" i="3"/>
  <c r="B16" i="3" s="1"/>
  <c r="T12" i="3"/>
  <c r="S13" i="3"/>
  <c r="V6" i="3"/>
  <c r="AE6" i="3"/>
  <c r="F6" i="3"/>
  <c r="G6" i="3"/>
  <c r="P16" i="3" l="1"/>
  <c r="Q16" i="3" s="1"/>
  <c r="R16" i="3" s="1"/>
  <c r="A17" i="3"/>
  <c r="B17" i="3" s="1"/>
  <c r="AA16" i="3"/>
  <c r="AC16" i="3"/>
  <c r="AD16" i="3"/>
  <c r="Z16" i="3"/>
  <c r="I6" i="3"/>
  <c r="W6" i="3" s="1"/>
  <c r="J6" i="3"/>
  <c r="M6" i="3"/>
  <c r="N6" i="3" s="1"/>
  <c r="S14" i="3"/>
  <c r="T13" i="3"/>
  <c r="T14" i="3" l="1"/>
  <c r="S15" i="3"/>
  <c r="L6" i="3"/>
  <c r="A18" i="3"/>
  <c r="B18" i="3" s="1"/>
  <c r="AC17" i="3"/>
  <c r="AD17" i="3"/>
  <c r="Z17" i="3"/>
  <c r="AA17" i="3"/>
  <c r="P17" i="3"/>
  <c r="Q17" i="3" s="1"/>
  <c r="R17" i="3" s="1"/>
  <c r="AC18" i="3" l="1"/>
  <c r="P18" i="3"/>
  <c r="Q18" i="3" s="1"/>
  <c r="R18" i="3" s="1"/>
  <c r="Z18" i="3"/>
  <c r="AD18" i="3"/>
  <c r="AA18" i="3"/>
  <c r="A19" i="3"/>
  <c r="B19" i="3" s="1"/>
  <c r="AG7" i="3"/>
  <c r="U6" i="3"/>
  <c r="E7" i="3" s="1"/>
  <c r="H7" i="3" s="1"/>
  <c r="AH7" i="3"/>
  <c r="Y5" i="3"/>
  <c r="S16" i="3"/>
  <c r="T15" i="3"/>
  <c r="K7" i="3" l="1"/>
  <c r="AC19" i="3"/>
  <c r="A20" i="3"/>
  <c r="B20" i="3" s="1"/>
  <c r="AA19" i="3"/>
  <c r="P19" i="3"/>
  <c r="Q19" i="3" s="1"/>
  <c r="R19" i="3" s="1"/>
  <c r="Z19" i="3"/>
  <c r="AD19" i="3"/>
  <c r="T16" i="3"/>
  <c r="S17" i="3"/>
  <c r="D7" i="3"/>
  <c r="A21" i="3" l="1"/>
  <c r="B21" i="3" s="1"/>
  <c r="AA20" i="3"/>
  <c r="AC20" i="3"/>
  <c r="AD20" i="3"/>
  <c r="Z20" i="3"/>
  <c r="P20" i="3"/>
  <c r="Q20" i="3" s="1"/>
  <c r="R20" i="3" s="1"/>
  <c r="F7" i="3"/>
  <c r="G7" i="3"/>
  <c r="V7" i="3"/>
  <c r="AE7" i="3"/>
  <c r="T17" i="3"/>
  <c r="S18" i="3"/>
  <c r="AA21" i="3" l="1"/>
  <c r="AD21" i="3"/>
  <c r="AC21" i="3"/>
  <c r="A22" i="3"/>
  <c r="B22" i="3" s="1"/>
  <c r="P21" i="3"/>
  <c r="Q21" i="3" s="1"/>
  <c r="R21" i="3" s="1"/>
  <c r="Z21" i="3"/>
  <c r="T18" i="3"/>
  <c r="S19" i="3"/>
  <c r="I7" i="3"/>
  <c r="J7" i="3"/>
  <c r="M7" i="3"/>
  <c r="N7" i="3" s="1"/>
  <c r="AC22" i="3" l="1"/>
  <c r="Z22" i="3"/>
  <c r="AD22" i="3"/>
  <c r="P22" i="3"/>
  <c r="Q22" i="3" s="1"/>
  <c r="R22" i="3" s="1"/>
  <c r="AA22" i="3"/>
  <c r="A23" i="3"/>
  <c r="B23" i="3" s="1"/>
  <c r="S20" i="3"/>
  <c r="T19" i="3"/>
  <c r="L7" i="3"/>
  <c r="W7" i="3"/>
  <c r="AC23" i="3" l="1"/>
  <c r="P23" i="3"/>
  <c r="Q23" i="3" s="1"/>
  <c r="R23" i="3" s="1"/>
  <c r="A24" i="3"/>
  <c r="B24" i="3" s="1"/>
  <c r="AA23" i="3"/>
  <c r="Z23" i="3"/>
  <c r="AD23" i="3"/>
  <c r="AH8" i="3"/>
  <c r="U7" i="3"/>
  <c r="E8" i="3" s="1"/>
  <c r="H8" i="3" s="1"/>
  <c r="AG8" i="3"/>
  <c r="Y6" i="3"/>
  <c r="S21" i="3"/>
  <c r="T20" i="3"/>
  <c r="D8" i="3" l="1"/>
  <c r="F8" i="3" s="1"/>
  <c r="K8" i="3"/>
  <c r="T21" i="3"/>
  <c r="S22" i="3"/>
  <c r="AC24" i="3"/>
  <c r="AA24" i="3"/>
  <c r="AD24" i="3"/>
  <c r="A25" i="3"/>
  <c r="B25" i="3" s="1"/>
  <c r="Z24" i="3"/>
  <c r="P24" i="3"/>
  <c r="Q24" i="3" s="1"/>
  <c r="R24" i="3" s="1"/>
  <c r="G8" i="3" l="1"/>
  <c r="I8" i="3" s="1"/>
  <c r="Z25" i="3"/>
  <c r="P25" i="3"/>
  <c r="Q25" i="3" s="1"/>
  <c r="R25" i="3" s="1"/>
  <c r="AD25" i="3"/>
  <c r="A26" i="3"/>
  <c r="B26" i="3" s="1"/>
  <c r="AC25" i="3"/>
  <c r="AA25" i="3"/>
  <c r="V8" i="3"/>
  <c r="AE8" i="3"/>
  <c r="S23" i="3"/>
  <c r="T22" i="3"/>
  <c r="M8" i="3" l="1"/>
  <c r="N8" i="3" s="1"/>
  <c r="J8" i="3"/>
  <c r="L8" i="3" s="1"/>
  <c r="AD26" i="3"/>
  <c r="AC26" i="3"/>
  <c r="Z26" i="3"/>
  <c r="A27" i="3"/>
  <c r="B27" i="3" s="1"/>
  <c r="AA26" i="3"/>
  <c r="P26" i="3"/>
  <c r="Q26" i="3" s="1"/>
  <c r="R26" i="3" s="1"/>
  <c r="W8" i="3"/>
  <c r="S24" i="3"/>
  <c r="T23" i="3"/>
  <c r="AA27" i="3" l="1"/>
  <c r="A28" i="3"/>
  <c r="B28" i="3" s="1"/>
  <c r="P27" i="3"/>
  <c r="Q27" i="3" s="1"/>
  <c r="R27" i="3" s="1"/>
  <c r="AD27" i="3"/>
  <c r="AC27" i="3"/>
  <c r="Z27" i="3"/>
  <c r="T24" i="3"/>
  <c r="S25" i="3"/>
  <c r="U8" i="3"/>
  <c r="D9" i="3" s="1"/>
  <c r="AH9" i="3"/>
  <c r="AG9" i="3"/>
  <c r="Y7" i="3"/>
  <c r="E9" i="3" l="1"/>
  <c r="H9" i="3" s="1"/>
  <c r="K9" i="3" s="1"/>
  <c r="A29" i="3"/>
  <c r="B29" i="3" s="1"/>
  <c r="AC28" i="3"/>
  <c r="P28" i="3"/>
  <c r="Q28" i="3" s="1"/>
  <c r="R28" i="3" s="1"/>
  <c r="AA28" i="3"/>
  <c r="Z28" i="3"/>
  <c r="AD28" i="3"/>
  <c r="S26" i="3"/>
  <c r="T25" i="3"/>
  <c r="G9" i="3"/>
  <c r="F9" i="3" l="1"/>
  <c r="V9" i="3"/>
  <c r="AE9" i="3"/>
  <c r="I9" i="3"/>
  <c r="J9" i="3"/>
  <c r="M9" i="3"/>
  <c r="N9" i="3" s="1"/>
  <c r="S27" i="3"/>
  <c r="T26" i="3"/>
  <c r="AC29" i="3"/>
  <c r="P29" i="3"/>
  <c r="Q29" i="3" s="1"/>
  <c r="R29" i="3" s="1"/>
  <c r="AD29" i="3"/>
  <c r="Z29" i="3"/>
  <c r="A30" i="3"/>
  <c r="B30" i="3" s="1"/>
  <c r="AA29" i="3"/>
  <c r="L9" i="3" l="1"/>
  <c r="P30" i="3"/>
  <c r="Q30" i="3" s="1"/>
  <c r="R30" i="3" s="1"/>
  <c r="Z30" i="3"/>
  <c r="AD30" i="3"/>
  <c r="A31" i="3"/>
  <c r="B31" i="3" s="1"/>
  <c r="AC30" i="3"/>
  <c r="AA30" i="3"/>
  <c r="T27" i="3"/>
  <c r="S28" i="3"/>
  <c r="W9" i="3"/>
  <c r="AC31" i="3" l="1"/>
  <c r="Z31" i="3"/>
  <c r="AA31" i="3"/>
  <c r="A32" i="3"/>
  <c r="B32" i="3" s="1"/>
  <c r="AD31" i="3"/>
  <c r="P31" i="3"/>
  <c r="Q31" i="3" s="1"/>
  <c r="R31" i="3" s="1"/>
  <c r="S29" i="3"/>
  <c r="T28" i="3"/>
  <c r="AG10" i="3"/>
  <c r="AH10" i="3"/>
  <c r="U9" i="3"/>
  <c r="D10" i="3" s="1"/>
  <c r="Y8" i="3"/>
  <c r="AA32" i="3" l="1"/>
  <c r="AC32" i="3"/>
  <c r="AD32" i="3"/>
  <c r="Z32" i="3"/>
  <c r="P32" i="3"/>
  <c r="Q32" i="3" s="1"/>
  <c r="R32" i="3" s="1"/>
  <c r="A33" i="3"/>
  <c r="B33" i="3" s="1"/>
  <c r="G10" i="3"/>
  <c r="E10" i="3"/>
  <c r="H10" i="3" s="1"/>
  <c r="T29" i="3"/>
  <c r="S30" i="3"/>
  <c r="AC33" i="3" l="1"/>
  <c r="A34" i="3"/>
  <c r="B34" i="3" s="1"/>
  <c r="Z33" i="3"/>
  <c r="AD33" i="3"/>
  <c r="P33" i="3"/>
  <c r="Q33" i="3" s="1"/>
  <c r="R33" i="3" s="1"/>
  <c r="AA33" i="3"/>
  <c r="K10" i="3"/>
  <c r="S31" i="3"/>
  <c r="T30" i="3"/>
  <c r="I10" i="3"/>
  <c r="J10" i="3"/>
  <c r="M10" i="3"/>
  <c r="N10" i="3" s="1"/>
  <c r="F10" i="3"/>
  <c r="L10" i="3" l="1"/>
  <c r="S32" i="3"/>
  <c r="T31" i="3"/>
  <c r="V10" i="3"/>
  <c r="W10" i="3" s="1"/>
  <c r="AE10" i="3"/>
  <c r="AA34" i="3"/>
  <c r="AD34" i="3"/>
  <c r="AC34" i="3"/>
  <c r="Z34" i="3"/>
  <c r="A35" i="3"/>
  <c r="B35" i="3" s="1"/>
  <c r="P34" i="3"/>
  <c r="Q34" i="3" s="1"/>
  <c r="R34" i="3" s="1"/>
  <c r="AC35" i="3" l="1"/>
  <c r="AA35" i="3"/>
  <c r="AD35" i="3"/>
  <c r="Z35" i="3"/>
  <c r="P35" i="3"/>
  <c r="Q35" i="3" s="1"/>
  <c r="R35" i="3" s="1"/>
  <c r="A36" i="3"/>
  <c r="B36" i="3" s="1"/>
  <c r="T32" i="3"/>
  <c r="S33" i="3"/>
  <c r="AG11" i="3"/>
  <c r="AH11" i="3"/>
  <c r="U10" i="3"/>
  <c r="D11" i="3" s="1"/>
  <c r="Y9" i="3"/>
  <c r="E11" i="3" l="1"/>
  <c r="H11" i="3" s="1"/>
  <c r="K11" i="3" s="1"/>
  <c r="A37" i="3"/>
  <c r="B37" i="3" s="1"/>
  <c r="AC36" i="3"/>
  <c r="P36" i="3"/>
  <c r="Q36" i="3" s="1"/>
  <c r="R36" i="3" s="1"/>
  <c r="AD36" i="3"/>
  <c r="AA36" i="3"/>
  <c r="Z36" i="3"/>
  <c r="G11" i="3"/>
  <c r="S34" i="3"/>
  <c r="T33" i="3"/>
  <c r="F11" i="3" l="1"/>
  <c r="P37" i="3"/>
  <c r="Q37" i="3" s="1"/>
  <c r="R37" i="3" s="1"/>
  <c r="A38" i="3"/>
  <c r="B38" i="3" s="1"/>
  <c r="Z37" i="3"/>
  <c r="AC37" i="3"/>
  <c r="AD37" i="3"/>
  <c r="AA37" i="3"/>
  <c r="V11" i="3"/>
  <c r="AE11" i="3"/>
  <c r="I11" i="3"/>
  <c r="J11" i="3"/>
  <c r="M11" i="3"/>
  <c r="N11" i="3" s="1"/>
  <c r="S35" i="3"/>
  <c r="T34" i="3"/>
  <c r="P38" i="3" l="1"/>
  <c r="Q38" i="3" s="1"/>
  <c r="R38" i="3" s="1"/>
  <c r="Z38" i="3"/>
  <c r="AC38" i="3"/>
  <c r="A39" i="3"/>
  <c r="B39" i="3" s="1"/>
  <c r="AD38" i="3"/>
  <c r="AA38" i="3"/>
  <c r="L11" i="3"/>
  <c r="S36" i="3"/>
  <c r="T35" i="3"/>
  <c r="W11" i="3"/>
  <c r="AC39" i="3" l="1"/>
  <c r="AD39" i="3"/>
  <c r="Z39" i="3"/>
  <c r="AA39" i="3"/>
  <c r="A40" i="3"/>
  <c r="B40" i="3" s="1"/>
  <c r="P39" i="3"/>
  <c r="Q39" i="3" s="1"/>
  <c r="R39" i="3" s="1"/>
  <c r="T36" i="3"/>
  <c r="S37" i="3"/>
  <c r="AG12" i="3"/>
  <c r="AH12" i="3"/>
  <c r="U11" i="3"/>
  <c r="D12" i="3" s="1"/>
  <c r="Y10" i="3"/>
  <c r="E12" i="3" l="1"/>
  <c r="H12" i="3" s="1"/>
  <c r="K12" i="3" s="1"/>
  <c r="AA40" i="3"/>
  <c r="AC40" i="3"/>
  <c r="AD40" i="3"/>
  <c r="P40" i="3"/>
  <c r="Q40" i="3" s="1"/>
  <c r="R40" i="3" s="1"/>
  <c r="Z40" i="3"/>
  <c r="A41" i="3"/>
  <c r="B41" i="3" s="1"/>
  <c r="G12" i="3"/>
  <c r="S38" i="3"/>
  <c r="T37" i="3"/>
  <c r="F12" i="3" l="1"/>
  <c r="A42" i="3"/>
  <c r="B42" i="3" s="1"/>
  <c r="Z41" i="3"/>
  <c r="AC41" i="3"/>
  <c r="AA41" i="3"/>
  <c r="AD41" i="3"/>
  <c r="P41" i="3"/>
  <c r="Q41" i="3" s="1"/>
  <c r="R41" i="3" s="1"/>
  <c r="T38" i="3"/>
  <c r="S39" i="3"/>
  <c r="V12" i="3"/>
  <c r="AE12" i="3"/>
  <c r="I12" i="3"/>
  <c r="J12" i="3"/>
  <c r="M12" i="3"/>
  <c r="N12" i="3" s="1"/>
  <c r="T39" i="3" l="1"/>
  <c r="S40" i="3"/>
  <c r="W12" i="3"/>
  <c r="AD42" i="3"/>
  <c r="AC42" i="3"/>
  <c r="A43" i="3"/>
  <c r="B43" i="3" s="1"/>
  <c r="P42" i="3"/>
  <c r="Q42" i="3" s="1"/>
  <c r="R42" i="3" s="1"/>
  <c r="Z42" i="3"/>
  <c r="AA42" i="3"/>
  <c r="L12" i="3"/>
  <c r="AD43" i="3" l="1"/>
  <c r="P43" i="3"/>
  <c r="Q43" i="3" s="1"/>
  <c r="R43" i="3" s="1"/>
  <c r="AC43" i="3"/>
  <c r="Z43" i="3"/>
  <c r="A44" i="3"/>
  <c r="B44" i="3" s="1"/>
  <c r="AA43" i="3"/>
  <c r="AH13" i="3"/>
  <c r="U12" i="3"/>
  <c r="D13" i="3" s="1"/>
  <c r="AG13" i="3"/>
  <c r="Y11" i="3"/>
  <c r="T40" i="3"/>
  <c r="S41" i="3"/>
  <c r="E13" i="3" l="1"/>
  <c r="H13" i="3" s="1"/>
  <c r="K13" i="3" s="1"/>
  <c r="G13" i="3"/>
  <c r="A45" i="3"/>
  <c r="B45" i="3" s="1"/>
  <c r="AC44" i="3"/>
  <c r="AD44" i="3"/>
  <c r="AA44" i="3"/>
  <c r="P44" i="3"/>
  <c r="Q44" i="3" s="1"/>
  <c r="R44" i="3" s="1"/>
  <c r="Z44" i="3"/>
  <c r="S42" i="3"/>
  <c r="T41" i="3"/>
  <c r="F13" i="3" l="1"/>
  <c r="V13" i="3"/>
  <c r="AE13" i="3"/>
  <c r="I13" i="3"/>
  <c r="J13" i="3"/>
  <c r="M13" i="3"/>
  <c r="N13" i="3" s="1"/>
  <c r="T42" i="3"/>
  <c r="S43" i="3"/>
  <c r="AA45" i="3"/>
  <c r="A46" i="3"/>
  <c r="B46" i="3" s="1"/>
  <c r="Z45" i="3"/>
  <c r="AC45" i="3"/>
  <c r="P45" i="3"/>
  <c r="Q45" i="3" s="1"/>
  <c r="R45" i="3" s="1"/>
  <c r="AD45" i="3"/>
  <c r="AD46" i="3" l="1"/>
  <c r="P46" i="3"/>
  <c r="Q46" i="3" s="1"/>
  <c r="R46" i="3" s="1"/>
  <c r="AC46" i="3"/>
  <c r="AA46" i="3"/>
  <c r="A47" i="3"/>
  <c r="B47" i="3" s="1"/>
  <c r="Z46" i="3"/>
  <c r="T43" i="3"/>
  <c r="S44" i="3"/>
  <c r="W13" i="3"/>
  <c r="L13" i="3"/>
  <c r="AD47" i="3" l="1"/>
  <c r="P47" i="3"/>
  <c r="Q47" i="3" s="1"/>
  <c r="R47" i="3" s="1"/>
  <c r="A48" i="3"/>
  <c r="B48" i="3" s="1"/>
  <c r="Z47" i="3"/>
  <c r="AA47" i="3"/>
  <c r="AC47" i="3"/>
  <c r="U13" i="3"/>
  <c r="E14" i="3" s="1"/>
  <c r="H14" i="3" s="1"/>
  <c r="AH14" i="3"/>
  <c r="AG14" i="3"/>
  <c r="Y12" i="3"/>
  <c r="T44" i="3"/>
  <c r="S45" i="3"/>
  <c r="D14" i="3" l="1"/>
  <c r="F14" i="3" s="1"/>
  <c r="P48" i="3"/>
  <c r="Q48" i="3" s="1"/>
  <c r="R48" i="3" s="1"/>
  <c r="AA48" i="3"/>
  <c r="AD48" i="3"/>
  <c r="AC48" i="3"/>
  <c r="A49" i="3"/>
  <c r="B49" i="3" s="1"/>
  <c r="Z48" i="3"/>
  <c r="K14" i="3"/>
  <c r="S46" i="3"/>
  <c r="T45" i="3"/>
  <c r="G14" i="3" l="1"/>
  <c r="M14" i="3" s="1"/>
  <c r="N14" i="3" s="1"/>
  <c r="AC49" i="3"/>
  <c r="AD49" i="3"/>
  <c r="P49" i="3"/>
  <c r="Q49" i="3" s="1"/>
  <c r="R49" i="3" s="1"/>
  <c r="AA49" i="3"/>
  <c r="Z49" i="3"/>
  <c r="A50" i="3"/>
  <c r="B50" i="3" s="1"/>
  <c r="S47" i="3"/>
  <c r="T46" i="3"/>
  <c r="V14" i="3"/>
  <c r="AE14" i="3"/>
  <c r="J14" i="3" l="1"/>
  <c r="L14" i="3" s="1"/>
  <c r="I14" i="3"/>
  <c r="W14" i="3" s="1"/>
  <c r="P50" i="3"/>
  <c r="Q50" i="3" s="1"/>
  <c r="R50" i="3" s="1"/>
  <c r="A51" i="3"/>
  <c r="B51" i="3" s="1"/>
  <c r="AC50" i="3"/>
  <c r="Z50" i="3"/>
  <c r="AA50" i="3"/>
  <c r="AD50" i="3"/>
  <c r="T47" i="3"/>
  <c r="S48" i="3"/>
  <c r="AD51" i="3" l="1"/>
  <c r="AC51" i="3"/>
  <c r="AA51" i="3"/>
  <c r="P51" i="3"/>
  <c r="Q51" i="3" s="1"/>
  <c r="R51" i="3" s="1"/>
  <c r="Z51" i="3"/>
  <c r="A52" i="3"/>
  <c r="B52" i="3" s="1"/>
  <c r="S49" i="3"/>
  <c r="T48" i="3"/>
  <c r="AG15" i="3"/>
  <c r="AH15" i="3"/>
  <c r="U14" i="3"/>
  <c r="D15" i="3" s="1"/>
  <c r="Y13" i="3"/>
  <c r="AD52" i="3" l="1"/>
  <c r="AA52" i="3"/>
  <c r="Z52" i="3"/>
  <c r="AC52" i="3"/>
  <c r="A53" i="3"/>
  <c r="B53" i="3" s="1"/>
  <c r="P52" i="3"/>
  <c r="Q52" i="3" s="1"/>
  <c r="R52" i="3" s="1"/>
  <c r="G15" i="3"/>
  <c r="E15" i="3"/>
  <c r="H15" i="3" s="1"/>
  <c r="S50" i="3"/>
  <c r="T49" i="3"/>
  <c r="AA53" i="3" l="1"/>
  <c r="AC53" i="3"/>
  <c r="AD53" i="3"/>
  <c r="A54" i="3"/>
  <c r="B54" i="3" s="1"/>
  <c r="P53" i="3"/>
  <c r="Q53" i="3" s="1"/>
  <c r="R53" i="3" s="1"/>
  <c r="Z53" i="3"/>
  <c r="T50" i="3"/>
  <c r="S51" i="3"/>
  <c r="I15" i="3"/>
  <c r="J15" i="3"/>
  <c r="M15" i="3"/>
  <c r="N15" i="3" s="1"/>
  <c r="K15" i="3"/>
  <c r="F15" i="3"/>
  <c r="AC54" i="3" l="1"/>
  <c r="A55" i="3"/>
  <c r="B55" i="3" s="1"/>
  <c r="Z54" i="3"/>
  <c r="P54" i="3"/>
  <c r="Q54" i="3" s="1"/>
  <c r="R54" i="3" s="1"/>
  <c r="AA54" i="3"/>
  <c r="AD54" i="3"/>
  <c r="L15" i="3"/>
  <c r="T51" i="3"/>
  <c r="S52" i="3"/>
  <c r="V15" i="3"/>
  <c r="W15" i="3" s="1"/>
  <c r="AE15" i="3"/>
  <c r="Z55" i="3" l="1"/>
  <c r="P55" i="3"/>
  <c r="Q55" i="3" s="1"/>
  <c r="R55" i="3" s="1"/>
  <c r="AD55" i="3"/>
  <c r="A56" i="3"/>
  <c r="B56" i="3" s="1"/>
  <c r="AC55" i="3"/>
  <c r="AA55" i="3"/>
  <c r="S53" i="3"/>
  <c r="T52" i="3"/>
  <c r="U15" i="3"/>
  <c r="D16" i="3" s="1"/>
  <c r="AH16" i="3"/>
  <c r="AG16" i="3"/>
  <c r="Y14" i="3"/>
  <c r="E16" i="3" l="1"/>
  <c r="H16" i="3" s="1"/>
  <c r="K16" i="3" s="1"/>
  <c r="AA56" i="3"/>
  <c r="P56" i="3"/>
  <c r="Q56" i="3" s="1"/>
  <c r="R56" i="3" s="1"/>
  <c r="A57" i="3"/>
  <c r="B57" i="3" s="1"/>
  <c r="Z56" i="3"/>
  <c r="AD56" i="3"/>
  <c r="AC56" i="3"/>
  <c r="G16" i="3"/>
  <c r="S54" i="3"/>
  <c r="T53" i="3"/>
  <c r="F16" i="3" l="1"/>
  <c r="AA57" i="3"/>
  <c r="A58" i="3"/>
  <c r="B58" i="3" s="1"/>
  <c r="AC57" i="3"/>
  <c r="P57" i="3"/>
  <c r="Q57" i="3" s="1"/>
  <c r="R57" i="3" s="1"/>
  <c r="AD57" i="3"/>
  <c r="Z57" i="3"/>
  <c r="V16" i="3"/>
  <c r="AE16" i="3"/>
  <c r="S55" i="3"/>
  <c r="T54" i="3"/>
  <c r="I16" i="3"/>
  <c r="J16" i="3"/>
  <c r="M16" i="3"/>
  <c r="N16" i="3" s="1"/>
  <c r="AD58" i="3" l="1"/>
  <c r="AA58" i="3"/>
  <c r="A59" i="3"/>
  <c r="B59" i="3" s="1"/>
  <c r="P58" i="3"/>
  <c r="Q58" i="3" s="1"/>
  <c r="R58" i="3" s="1"/>
  <c r="AC58" i="3"/>
  <c r="Z58" i="3"/>
  <c r="S56" i="3"/>
  <c r="T55" i="3"/>
  <c r="W16" i="3"/>
  <c r="L16" i="3"/>
  <c r="AH17" i="3" l="1"/>
  <c r="AG17" i="3"/>
  <c r="U16" i="3"/>
  <c r="E17" i="3" s="1"/>
  <c r="H17" i="3" s="1"/>
  <c r="Y15" i="3"/>
  <c r="P59" i="3"/>
  <c r="Q59" i="3" s="1"/>
  <c r="R59" i="3" s="1"/>
  <c r="AA59" i="3"/>
  <c r="Z59" i="3"/>
  <c r="A60" i="3"/>
  <c r="B60" i="3" s="1"/>
  <c r="AC59" i="3"/>
  <c r="AD59" i="3"/>
  <c r="T56" i="3"/>
  <c r="S57" i="3"/>
  <c r="D17" i="3" l="1"/>
  <c r="F17" i="3" s="1"/>
  <c r="AA60" i="3"/>
  <c r="AD60" i="3"/>
  <c r="Z60" i="3"/>
  <c r="AC60" i="3"/>
  <c r="P60" i="3"/>
  <c r="Q60" i="3" s="1"/>
  <c r="R60" i="3" s="1"/>
  <c r="A61" i="3"/>
  <c r="B61" i="3" s="1"/>
  <c r="K17" i="3"/>
  <c r="T57" i="3"/>
  <c r="S58" i="3"/>
  <c r="G17" i="3" l="1"/>
  <c r="I17" i="3" s="1"/>
  <c r="Z61" i="3"/>
  <c r="AA61" i="3"/>
  <c r="P61" i="3"/>
  <c r="Q61" i="3" s="1"/>
  <c r="R61" i="3" s="1"/>
  <c r="AD61" i="3"/>
  <c r="AC61" i="3"/>
  <c r="A62" i="3"/>
  <c r="B62" i="3" s="1"/>
  <c r="T58" i="3"/>
  <c r="S59" i="3"/>
  <c r="V17" i="3"/>
  <c r="AE17" i="3"/>
  <c r="J17" i="3" l="1"/>
  <c r="L17" i="3" s="1"/>
  <c r="M17" i="3"/>
  <c r="N17" i="3" s="1"/>
  <c r="Z62" i="3"/>
  <c r="AC62" i="3"/>
  <c r="AD62" i="3"/>
  <c r="A63" i="3"/>
  <c r="B63" i="3" s="1"/>
  <c r="P62" i="3"/>
  <c r="Q62" i="3" s="1"/>
  <c r="R62" i="3" s="1"/>
  <c r="AA62" i="3"/>
  <c r="W17" i="3"/>
  <c r="S60" i="3"/>
  <c r="T59" i="3"/>
  <c r="A64" i="3" l="1"/>
  <c r="B64" i="3" s="1"/>
  <c r="AD63" i="3"/>
  <c r="AC63" i="3"/>
  <c r="Z63" i="3"/>
  <c r="AA63" i="3"/>
  <c r="P63" i="3"/>
  <c r="Q63" i="3" s="1"/>
  <c r="R63" i="3" s="1"/>
  <c r="AH18" i="3"/>
  <c r="AG18" i="3"/>
  <c r="U17" i="3"/>
  <c r="E18" i="3" s="1"/>
  <c r="H18" i="3" s="1"/>
  <c r="Y16" i="3"/>
  <c r="S61" i="3"/>
  <c r="T60" i="3"/>
  <c r="D18" i="3" l="1"/>
  <c r="G18" i="3" s="1"/>
  <c r="T61" i="3"/>
  <c r="S62" i="3"/>
  <c r="K18" i="3"/>
  <c r="P64" i="3"/>
  <c r="Q64" i="3" s="1"/>
  <c r="R64" i="3" s="1"/>
  <c r="A65" i="3"/>
  <c r="B65" i="3" s="1"/>
  <c r="AA64" i="3"/>
  <c r="Z64" i="3"/>
  <c r="AC64" i="3"/>
  <c r="AD64" i="3"/>
  <c r="F18" i="3" l="1"/>
  <c r="V18" i="3"/>
  <c r="AE18" i="3"/>
  <c r="AC65" i="3"/>
  <c r="Z65" i="3"/>
  <c r="AA65" i="3"/>
  <c r="A66" i="3"/>
  <c r="B66" i="3" s="1"/>
  <c r="P65" i="3"/>
  <c r="Q65" i="3" s="1"/>
  <c r="R65" i="3" s="1"/>
  <c r="AD65" i="3"/>
  <c r="S63" i="3"/>
  <c r="T62" i="3"/>
  <c r="I18" i="3"/>
  <c r="J18" i="3"/>
  <c r="M18" i="3"/>
  <c r="N18" i="3" s="1"/>
  <c r="A67" i="3" l="1"/>
  <c r="B67" i="3" s="1"/>
  <c r="AA66" i="3"/>
  <c r="Z66" i="3"/>
  <c r="AD66" i="3"/>
  <c r="P66" i="3"/>
  <c r="Q66" i="3" s="1"/>
  <c r="R66" i="3" s="1"/>
  <c r="AC66" i="3"/>
  <c r="W18" i="3"/>
  <c r="S64" i="3"/>
  <c r="T63" i="3"/>
  <c r="L18" i="3"/>
  <c r="A68" i="3" l="1"/>
  <c r="B68" i="3" s="1"/>
  <c r="AA67" i="3"/>
  <c r="AD67" i="3"/>
  <c r="AC67" i="3"/>
  <c r="Z67" i="3"/>
  <c r="P67" i="3"/>
  <c r="Q67" i="3" s="1"/>
  <c r="R67" i="3" s="1"/>
  <c r="AG19" i="3"/>
  <c r="U18" i="3"/>
  <c r="D19" i="3" s="1"/>
  <c r="AH19" i="3"/>
  <c r="Y17" i="3"/>
  <c r="T64" i="3"/>
  <c r="S65" i="3"/>
  <c r="E19" i="3" l="1"/>
  <c r="H19" i="3" s="1"/>
  <c r="K19" i="3" s="1"/>
  <c r="Z68" i="3"/>
  <c r="A69" i="3"/>
  <c r="B69" i="3" s="1"/>
  <c r="AC68" i="3"/>
  <c r="AD68" i="3"/>
  <c r="AA68" i="3"/>
  <c r="P68" i="3"/>
  <c r="Q68" i="3" s="1"/>
  <c r="R68" i="3" s="1"/>
  <c r="G19" i="3"/>
  <c r="T65" i="3"/>
  <c r="S66" i="3"/>
  <c r="F19" i="3" l="1"/>
  <c r="S67" i="3"/>
  <c r="T66" i="3"/>
  <c r="I19" i="3"/>
  <c r="J19" i="3"/>
  <c r="M19" i="3"/>
  <c r="N19" i="3" s="1"/>
  <c r="V19" i="3"/>
  <c r="AE19" i="3"/>
  <c r="A70" i="3"/>
  <c r="B70" i="3" s="1"/>
  <c r="AC69" i="3"/>
  <c r="AA69" i="3"/>
  <c r="Z69" i="3"/>
  <c r="P69" i="3"/>
  <c r="Q69" i="3" s="1"/>
  <c r="R69" i="3" s="1"/>
  <c r="AD69" i="3"/>
  <c r="W19" i="3" l="1"/>
  <c r="AA70" i="3"/>
  <c r="A71" i="3"/>
  <c r="B71" i="3" s="1"/>
  <c r="AD70" i="3"/>
  <c r="AC70" i="3"/>
  <c r="P70" i="3"/>
  <c r="Q70" i="3" s="1"/>
  <c r="R70" i="3" s="1"/>
  <c r="Z70" i="3"/>
  <c r="L19" i="3"/>
  <c r="S68" i="3"/>
  <c r="T67" i="3"/>
  <c r="P71" i="3" l="1"/>
  <c r="Q71" i="3" s="1"/>
  <c r="R71" i="3" s="1"/>
  <c r="A72" i="3"/>
  <c r="B72" i="3" s="1"/>
  <c r="Z71" i="3"/>
  <c r="AC71" i="3"/>
  <c r="AD71" i="3"/>
  <c r="AA71" i="3"/>
  <c r="AH20" i="3"/>
  <c r="U19" i="3"/>
  <c r="E20" i="3" s="1"/>
  <c r="H20" i="3" s="1"/>
  <c r="AG20" i="3"/>
  <c r="Y18" i="3"/>
  <c r="S69" i="3"/>
  <c r="T68" i="3"/>
  <c r="K20" i="3" l="1"/>
  <c r="S70" i="3"/>
  <c r="T69" i="3"/>
  <c r="D20" i="3"/>
  <c r="P72" i="3"/>
  <c r="Q72" i="3" s="1"/>
  <c r="R72" i="3" s="1"/>
  <c r="AD72" i="3"/>
  <c r="AC72" i="3"/>
  <c r="Z72" i="3"/>
  <c r="AA72" i="3"/>
  <c r="A73" i="3"/>
  <c r="B73" i="3" s="1"/>
  <c r="Z73" i="3" l="1"/>
  <c r="AD73" i="3"/>
  <c r="AC73" i="3"/>
  <c r="P73" i="3"/>
  <c r="Q73" i="3" s="1"/>
  <c r="R73" i="3" s="1"/>
  <c r="A74" i="3"/>
  <c r="B74" i="3" s="1"/>
  <c r="AA73" i="3"/>
  <c r="F20" i="3"/>
  <c r="G20" i="3"/>
  <c r="T70" i="3"/>
  <c r="S71" i="3"/>
  <c r="V20" i="3"/>
  <c r="AE20" i="3"/>
  <c r="Z74" i="3" l="1"/>
  <c r="AD74" i="3"/>
  <c r="AC74" i="3"/>
  <c r="P74" i="3"/>
  <c r="Q74" i="3" s="1"/>
  <c r="R74" i="3" s="1"/>
  <c r="AA74" i="3"/>
  <c r="A75" i="3"/>
  <c r="B75" i="3" s="1"/>
  <c r="I20" i="3"/>
  <c r="W20" i="3" s="1"/>
  <c r="J20" i="3"/>
  <c r="M20" i="3"/>
  <c r="N20" i="3" s="1"/>
  <c r="T71" i="3"/>
  <c r="S72" i="3"/>
  <c r="AC75" i="3" l="1"/>
  <c r="P75" i="3"/>
  <c r="Q75" i="3" s="1"/>
  <c r="R75" i="3" s="1"/>
  <c r="AD75" i="3"/>
  <c r="Z75" i="3"/>
  <c r="A76" i="3"/>
  <c r="B76" i="3" s="1"/>
  <c r="AA75" i="3"/>
  <c r="S73" i="3"/>
  <c r="T72" i="3"/>
  <c r="L20" i="3"/>
  <c r="A77" i="3" l="1"/>
  <c r="B77" i="3" s="1"/>
  <c r="AD76" i="3"/>
  <c r="AC76" i="3"/>
  <c r="Z76" i="3"/>
  <c r="AA76" i="3"/>
  <c r="P76" i="3"/>
  <c r="Q76" i="3" s="1"/>
  <c r="R76" i="3" s="1"/>
  <c r="AG21" i="3"/>
  <c r="U20" i="3"/>
  <c r="E21" i="3" s="1"/>
  <c r="H21" i="3" s="1"/>
  <c r="AH21" i="3"/>
  <c r="Y19" i="3"/>
  <c r="S74" i="3"/>
  <c r="T73" i="3"/>
  <c r="K21" i="3" l="1"/>
  <c r="AD77" i="3"/>
  <c r="A78" i="3"/>
  <c r="B78" i="3" s="1"/>
  <c r="AC77" i="3"/>
  <c r="AA77" i="3"/>
  <c r="Z77" i="3"/>
  <c r="P77" i="3"/>
  <c r="Q77" i="3" s="1"/>
  <c r="R77" i="3" s="1"/>
  <c r="T74" i="3"/>
  <c r="S75" i="3"/>
  <c r="D21" i="3"/>
  <c r="AD78" i="3" l="1"/>
  <c r="P78" i="3"/>
  <c r="Q78" i="3" s="1"/>
  <c r="R78" i="3" s="1"/>
  <c r="Z78" i="3"/>
  <c r="A79" i="3"/>
  <c r="B79" i="3" s="1"/>
  <c r="AC78" i="3"/>
  <c r="AA78" i="3"/>
  <c r="S76" i="3"/>
  <c r="T75" i="3"/>
  <c r="V21" i="3"/>
  <c r="AE21" i="3"/>
  <c r="F21" i="3"/>
  <c r="G21" i="3"/>
  <c r="I21" i="3" l="1"/>
  <c r="W21" i="3" s="1"/>
  <c r="J21" i="3"/>
  <c r="M21" i="3"/>
  <c r="N21" i="3" s="1"/>
  <c r="P79" i="3"/>
  <c r="Q79" i="3" s="1"/>
  <c r="R79" i="3" s="1"/>
  <c r="A80" i="3"/>
  <c r="B80" i="3" s="1"/>
  <c r="AA79" i="3"/>
  <c r="AD79" i="3"/>
  <c r="Z79" i="3"/>
  <c r="AC79" i="3"/>
  <c r="S77" i="3"/>
  <c r="T76" i="3"/>
  <c r="P80" i="3" l="1"/>
  <c r="Q80" i="3" s="1"/>
  <c r="R80" i="3" s="1"/>
  <c r="AA80" i="3"/>
  <c r="Z80" i="3"/>
  <c r="AC80" i="3"/>
  <c r="A81" i="3"/>
  <c r="B81" i="3" s="1"/>
  <c r="AD80" i="3"/>
  <c r="T77" i="3"/>
  <c r="S78" i="3"/>
  <c r="L21" i="3"/>
  <c r="AC81" i="3" l="1"/>
  <c r="A82" i="3"/>
  <c r="B82" i="3" s="1"/>
  <c r="AA81" i="3"/>
  <c r="P81" i="3"/>
  <c r="Q81" i="3" s="1"/>
  <c r="R81" i="3" s="1"/>
  <c r="Z81" i="3"/>
  <c r="AD81" i="3"/>
  <c r="AG22" i="3"/>
  <c r="U21" i="3"/>
  <c r="D22" i="3" s="1"/>
  <c r="AH22" i="3"/>
  <c r="Y20" i="3"/>
  <c r="T78" i="3"/>
  <c r="S79" i="3"/>
  <c r="E22" i="3" l="1"/>
  <c r="H22" i="3" s="1"/>
  <c r="K22" i="3" s="1"/>
  <c r="G22" i="3"/>
  <c r="S80" i="3"/>
  <c r="T79" i="3"/>
  <c r="Z82" i="3"/>
  <c r="A83" i="3"/>
  <c r="B83" i="3" s="1"/>
  <c r="AD82" i="3"/>
  <c r="P82" i="3"/>
  <c r="Q82" i="3" s="1"/>
  <c r="R82" i="3" s="1"/>
  <c r="AC82" i="3"/>
  <c r="AA82" i="3"/>
  <c r="F22" i="3" l="1"/>
  <c r="V22" i="3"/>
  <c r="AE22" i="3"/>
  <c r="AD83" i="3"/>
  <c r="AC83" i="3"/>
  <c r="P83" i="3"/>
  <c r="Q83" i="3" s="1"/>
  <c r="R83" i="3" s="1"/>
  <c r="Z83" i="3"/>
  <c r="AA83" i="3"/>
  <c r="A84" i="3"/>
  <c r="B84" i="3" s="1"/>
  <c r="T80" i="3"/>
  <c r="S81" i="3"/>
  <c r="I22" i="3"/>
  <c r="J22" i="3"/>
  <c r="M22" i="3"/>
  <c r="N22" i="3" s="1"/>
  <c r="T81" i="3" l="1"/>
  <c r="S82" i="3"/>
  <c r="AA84" i="3"/>
  <c r="AC84" i="3"/>
  <c r="Z84" i="3"/>
  <c r="AD84" i="3"/>
  <c r="P84" i="3"/>
  <c r="Q84" i="3" s="1"/>
  <c r="R84" i="3" s="1"/>
  <c r="A85" i="3"/>
  <c r="B85" i="3" s="1"/>
  <c r="W22" i="3"/>
  <c r="L22" i="3"/>
  <c r="AC85" i="3" l="1"/>
  <c r="AD85" i="3"/>
  <c r="P85" i="3"/>
  <c r="Q85" i="3" s="1"/>
  <c r="R85" i="3" s="1"/>
  <c r="A86" i="3"/>
  <c r="B86" i="3" s="1"/>
  <c r="AA85" i="3"/>
  <c r="Z85" i="3"/>
  <c r="T82" i="3"/>
  <c r="S83" i="3"/>
  <c r="AH23" i="3"/>
  <c r="AG23" i="3"/>
  <c r="U22" i="3"/>
  <c r="E23" i="3" s="1"/>
  <c r="H23" i="3" s="1"/>
  <c r="Y21" i="3"/>
  <c r="D23" i="3" l="1"/>
  <c r="G23" i="3" s="1"/>
  <c r="K23" i="3"/>
  <c r="Z86" i="3"/>
  <c r="P86" i="3"/>
  <c r="Q86" i="3" s="1"/>
  <c r="R86" i="3" s="1"/>
  <c r="AA86" i="3"/>
  <c r="A87" i="3"/>
  <c r="B87" i="3" s="1"/>
  <c r="AC86" i="3"/>
  <c r="AD86" i="3"/>
  <c r="S84" i="3"/>
  <c r="T83" i="3"/>
  <c r="F23" i="3" l="1"/>
  <c r="AD87" i="3"/>
  <c r="P87" i="3"/>
  <c r="Q87" i="3" s="1"/>
  <c r="R87" i="3" s="1"/>
  <c r="AA87" i="3"/>
  <c r="Z87" i="3"/>
  <c r="A88" i="3"/>
  <c r="B88" i="3" s="1"/>
  <c r="AC87" i="3"/>
  <c r="S85" i="3"/>
  <c r="T84" i="3"/>
  <c r="V23" i="3"/>
  <c r="AE23" i="3"/>
  <c r="I23" i="3"/>
  <c r="J23" i="3"/>
  <c r="M23" i="3"/>
  <c r="N23" i="3" s="1"/>
  <c r="P88" i="3" l="1"/>
  <c r="Q88" i="3" s="1"/>
  <c r="R88" i="3" s="1"/>
  <c r="AC88" i="3"/>
  <c r="A89" i="3"/>
  <c r="B89" i="3" s="1"/>
  <c r="Z88" i="3"/>
  <c r="AD88" i="3"/>
  <c r="AA88" i="3"/>
  <c r="W23" i="3"/>
  <c r="L23" i="3"/>
  <c r="T85" i="3"/>
  <c r="S86" i="3"/>
  <c r="U23" i="3" l="1"/>
  <c r="E24" i="3" s="1"/>
  <c r="H24" i="3" s="1"/>
  <c r="AG24" i="3"/>
  <c r="AH24" i="3"/>
  <c r="Y22" i="3"/>
  <c r="T86" i="3"/>
  <c r="S87" i="3"/>
  <c r="Z89" i="3"/>
  <c r="AA89" i="3"/>
  <c r="AD89" i="3"/>
  <c r="AC89" i="3"/>
  <c r="A90" i="3"/>
  <c r="B90" i="3" s="1"/>
  <c r="P89" i="3"/>
  <c r="Q89" i="3" s="1"/>
  <c r="R89" i="3" s="1"/>
  <c r="D24" i="3" l="1"/>
  <c r="G24" i="3" s="1"/>
  <c r="AC90" i="3"/>
  <c r="AA90" i="3"/>
  <c r="Z90" i="3"/>
  <c r="AD90" i="3"/>
  <c r="A91" i="3"/>
  <c r="B91" i="3" s="1"/>
  <c r="P90" i="3"/>
  <c r="Q90" i="3" s="1"/>
  <c r="R90" i="3" s="1"/>
  <c r="K24" i="3"/>
  <c r="T87" i="3"/>
  <c r="S88" i="3"/>
  <c r="F24" i="3" l="1"/>
  <c r="P91" i="3"/>
  <c r="Q91" i="3" s="1"/>
  <c r="R91" i="3" s="1"/>
  <c r="AD91" i="3"/>
  <c r="AA91" i="3"/>
  <c r="A92" i="3"/>
  <c r="B92" i="3" s="1"/>
  <c r="AC91" i="3"/>
  <c r="Z91" i="3"/>
  <c r="T88" i="3"/>
  <c r="S89" i="3"/>
  <c r="I24" i="3"/>
  <c r="J24" i="3"/>
  <c r="M24" i="3"/>
  <c r="N24" i="3" s="1"/>
  <c r="V24" i="3"/>
  <c r="AE24" i="3"/>
  <c r="W24" i="3" l="1"/>
  <c r="P92" i="3"/>
  <c r="Q92" i="3" s="1"/>
  <c r="R92" i="3" s="1"/>
  <c r="A93" i="3"/>
  <c r="B93" i="3" s="1"/>
  <c r="AC92" i="3"/>
  <c r="Z92" i="3"/>
  <c r="AA92" i="3"/>
  <c r="AD92" i="3"/>
  <c r="L24" i="3"/>
  <c r="S90" i="3"/>
  <c r="T89" i="3"/>
  <c r="A94" i="3" l="1"/>
  <c r="B94" i="3" s="1"/>
  <c r="AD93" i="3"/>
  <c r="Z93" i="3"/>
  <c r="AC93" i="3"/>
  <c r="P93" i="3"/>
  <c r="Q93" i="3" s="1"/>
  <c r="R93" i="3" s="1"/>
  <c r="AA93" i="3"/>
  <c r="AH25" i="3"/>
  <c r="U24" i="3"/>
  <c r="D25" i="3" s="1"/>
  <c r="AG25" i="3"/>
  <c r="Y23" i="3"/>
  <c r="S91" i="3"/>
  <c r="T90" i="3"/>
  <c r="E25" i="3" l="1"/>
  <c r="H25" i="3" s="1"/>
  <c r="K25" i="3" s="1"/>
  <c r="P94" i="3"/>
  <c r="Q94" i="3" s="1"/>
  <c r="R94" i="3" s="1"/>
  <c r="AC94" i="3"/>
  <c r="Z94" i="3"/>
  <c r="A95" i="3"/>
  <c r="B95" i="3" s="1"/>
  <c r="AA94" i="3"/>
  <c r="AD94" i="3"/>
  <c r="T91" i="3"/>
  <c r="S92" i="3"/>
  <c r="G25" i="3"/>
  <c r="F25" i="3" l="1"/>
  <c r="P95" i="3"/>
  <c r="Q95" i="3" s="1"/>
  <c r="R95" i="3" s="1"/>
  <c r="AA95" i="3"/>
  <c r="Z95" i="3"/>
  <c r="AC95" i="3"/>
  <c r="AD95" i="3"/>
  <c r="A96" i="3"/>
  <c r="B96" i="3" s="1"/>
  <c r="V25" i="3"/>
  <c r="AE25" i="3"/>
  <c r="I25" i="3"/>
  <c r="J25" i="3"/>
  <c r="M25" i="3"/>
  <c r="N25" i="3" s="1"/>
  <c r="S93" i="3"/>
  <c r="T92" i="3"/>
  <c r="A97" i="3" l="1"/>
  <c r="B97" i="3" s="1"/>
  <c r="P96" i="3"/>
  <c r="Q96" i="3" s="1"/>
  <c r="R96" i="3" s="1"/>
  <c r="AD96" i="3"/>
  <c r="Z96" i="3"/>
  <c r="AC96" i="3"/>
  <c r="AA96" i="3"/>
  <c r="L25" i="3"/>
  <c r="W25" i="3"/>
  <c r="T93" i="3"/>
  <c r="S94" i="3"/>
  <c r="Z97" i="3" l="1"/>
  <c r="AC97" i="3"/>
  <c r="AD97" i="3"/>
  <c r="AA97" i="3"/>
  <c r="A98" i="3"/>
  <c r="B98" i="3" s="1"/>
  <c r="P97" i="3"/>
  <c r="Q97" i="3" s="1"/>
  <c r="R97" i="3" s="1"/>
  <c r="AH26" i="3"/>
  <c r="AG26" i="3"/>
  <c r="U25" i="3"/>
  <c r="E26" i="3" s="1"/>
  <c r="H26" i="3" s="1"/>
  <c r="Y24" i="3"/>
  <c r="T94" i="3"/>
  <c r="S95" i="3"/>
  <c r="D26" i="3" l="1"/>
  <c r="G26" i="3" s="1"/>
  <c r="AA98" i="3"/>
  <c r="AD98" i="3"/>
  <c r="P98" i="3"/>
  <c r="Q98" i="3" s="1"/>
  <c r="R98" i="3" s="1"/>
  <c r="A99" i="3"/>
  <c r="B99" i="3" s="1"/>
  <c r="Z98" i="3"/>
  <c r="AC98" i="3"/>
  <c r="K26" i="3"/>
  <c r="S96" i="3"/>
  <c r="T95" i="3"/>
  <c r="F26" i="3" l="1"/>
  <c r="Z99" i="3"/>
  <c r="A100" i="3"/>
  <c r="B100" i="3" s="1"/>
  <c r="P99" i="3"/>
  <c r="Q99" i="3" s="1"/>
  <c r="R99" i="3" s="1"/>
  <c r="AC99" i="3"/>
  <c r="AA99" i="3"/>
  <c r="AD99" i="3"/>
  <c r="I26" i="3"/>
  <c r="J26" i="3"/>
  <c r="M26" i="3"/>
  <c r="N26" i="3" s="1"/>
  <c r="T96" i="3"/>
  <c r="S97" i="3"/>
  <c r="V26" i="3"/>
  <c r="AE26" i="3"/>
  <c r="W26" i="3" l="1"/>
  <c r="AC100" i="3"/>
  <c r="AA100" i="3"/>
  <c r="Z100" i="3"/>
  <c r="AD100" i="3"/>
  <c r="P100" i="3"/>
  <c r="Q100" i="3" s="1"/>
  <c r="R100" i="3" s="1"/>
  <c r="A101" i="3"/>
  <c r="B101" i="3" s="1"/>
  <c r="S98" i="3"/>
  <c r="T97" i="3"/>
  <c r="L26" i="3"/>
  <c r="AC101" i="3" l="1"/>
  <c r="Z101" i="3"/>
  <c r="P101" i="3"/>
  <c r="Q101" i="3" s="1"/>
  <c r="R101" i="3" s="1"/>
  <c r="A102" i="3"/>
  <c r="B102" i="3" s="1"/>
  <c r="AA101" i="3"/>
  <c r="AD101" i="3"/>
  <c r="AG27" i="3"/>
  <c r="AH27" i="3"/>
  <c r="U26" i="3"/>
  <c r="D27" i="3" s="1"/>
  <c r="Y25" i="3"/>
  <c r="T98" i="3"/>
  <c r="S99" i="3"/>
  <c r="E27" i="3" l="1"/>
  <c r="H27" i="3" s="1"/>
  <c r="K27" i="3" s="1"/>
  <c r="AD102" i="3"/>
  <c r="P102" i="3"/>
  <c r="Q102" i="3" s="1"/>
  <c r="R102" i="3" s="1"/>
  <c r="A103" i="3"/>
  <c r="B103" i="3" s="1"/>
  <c r="Z102" i="3"/>
  <c r="AC102" i="3"/>
  <c r="AA102" i="3"/>
  <c r="G27" i="3"/>
  <c r="S100" i="3"/>
  <c r="T99" i="3"/>
  <c r="F27" i="3" l="1"/>
  <c r="T100" i="3"/>
  <c r="S101" i="3"/>
  <c r="AD103" i="3"/>
  <c r="A104" i="3"/>
  <c r="B104" i="3" s="1"/>
  <c r="Z103" i="3"/>
  <c r="P103" i="3"/>
  <c r="Q103" i="3" s="1"/>
  <c r="R103" i="3" s="1"/>
  <c r="AA103" i="3"/>
  <c r="AC103" i="3"/>
  <c r="I27" i="3"/>
  <c r="J27" i="3"/>
  <c r="M27" i="3"/>
  <c r="N27" i="3" s="1"/>
  <c r="V27" i="3"/>
  <c r="AE27" i="3"/>
  <c r="W27" i="3" l="1"/>
  <c r="AA104" i="3"/>
  <c r="P104" i="3"/>
  <c r="Q104" i="3" s="1"/>
  <c r="R104" i="3" s="1"/>
  <c r="A105" i="3"/>
  <c r="B105" i="3" s="1"/>
  <c r="Z104" i="3"/>
  <c r="AC104" i="3"/>
  <c r="L27" i="3"/>
  <c r="S102" i="3"/>
  <c r="T101" i="3"/>
  <c r="A106" i="3" l="1"/>
  <c r="B106" i="3" s="1"/>
  <c r="AC105" i="3"/>
  <c r="Z105" i="3"/>
  <c r="P105" i="3"/>
  <c r="Q105" i="3" s="1"/>
  <c r="R105" i="3" s="1"/>
  <c r="AD105" i="3"/>
  <c r="AA105" i="3"/>
  <c r="S103" i="3"/>
  <c r="T102" i="3"/>
  <c r="U27" i="3"/>
  <c r="E28" i="3" s="1"/>
  <c r="H28" i="3" s="1"/>
  <c r="AG28" i="3"/>
  <c r="AH28" i="3"/>
  <c r="Y26" i="3"/>
  <c r="D28" i="3" l="1"/>
  <c r="F28" i="3" s="1"/>
  <c r="AA106" i="3"/>
  <c r="AC106" i="3"/>
  <c r="P106" i="3"/>
  <c r="Q106" i="3" s="1"/>
  <c r="R106" i="3" s="1"/>
  <c r="A107" i="3"/>
  <c r="B107" i="3" s="1"/>
  <c r="AD106" i="3"/>
  <c r="Z106" i="3"/>
  <c r="K28" i="3"/>
  <c r="S104" i="3"/>
  <c r="T103" i="3"/>
  <c r="G28" i="3" l="1"/>
  <c r="M28" i="3" s="1"/>
  <c r="N28" i="3" s="1"/>
  <c r="AD107" i="3"/>
  <c r="AC107" i="3"/>
  <c r="P107" i="3"/>
  <c r="Q107" i="3" s="1"/>
  <c r="R107" i="3" s="1"/>
  <c r="Z107" i="3"/>
  <c r="AA107" i="3"/>
  <c r="A108" i="3"/>
  <c r="B108" i="3" s="1"/>
  <c r="T104" i="3"/>
  <c r="S105" i="3"/>
  <c r="V28" i="3"/>
  <c r="AE28" i="3"/>
  <c r="J28" i="3" l="1"/>
  <c r="L28" i="3" s="1"/>
  <c r="I28" i="3"/>
  <c r="W28" i="3" s="1"/>
  <c r="S106" i="3"/>
  <c r="T105" i="3"/>
  <c r="Z108" i="3"/>
  <c r="AC108" i="3"/>
  <c r="P108" i="3"/>
  <c r="Q108" i="3" s="1"/>
  <c r="R108" i="3" s="1"/>
  <c r="AA108" i="3"/>
  <c r="A109" i="3"/>
  <c r="B109" i="3" s="1"/>
  <c r="AD108" i="3"/>
  <c r="A110" i="3" l="1"/>
  <c r="B110" i="3" s="1"/>
  <c r="AD109" i="3"/>
  <c r="AA109" i="3"/>
  <c r="P109" i="3"/>
  <c r="Q109" i="3" s="1"/>
  <c r="R109" i="3" s="1"/>
  <c r="Z109" i="3"/>
  <c r="AC109" i="3"/>
  <c r="U28" i="3"/>
  <c r="E29" i="3" s="1"/>
  <c r="H29" i="3" s="1"/>
  <c r="AG29" i="3"/>
  <c r="AH29" i="3"/>
  <c r="Y27" i="3"/>
  <c r="T106" i="3"/>
  <c r="S107" i="3"/>
  <c r="D29" i="3" l="1"/>
  <c r="F29" i="3" s="1"/>
  <c r="K29" i="3"/>
  <c r="AA110" i="3"/>
  <c r="AC110" i="3"/>
  <c r="A111" i="3"/>
  <c r="B111" i="3" s="1"/>
  <c r="P110" i="3"/>
  <c r="Q110" i="3" s="1"/>
  <c r="R110" i="3" s="1"/>
  <c r="AD110" i="3"/>
  <c r="Z110" i="3"/>
  <c r="T107" i="3"/>
  <c r="S108" i="3"/>
  <c r="G29" i="3" l="1"/>
  <c r="I29" i="3" s="1"/>
  <c r="AD111" i="3"/>
  <c r="Z111" i="3"/>
  <c r="A112" i="3"/>
  <c r="B112" i="3" s="1"/>
  <c r="AC111" i="3"/>
  <c r="P111" i="3"/>
  <c r="Q111" i="3" s="1"/>
  <c r="R111" i="3" s="1"/>
  <c r="AA111" i="3"/>
  <c r="V29" i="3"/>
  <c r="AE29" i="3"/>
  <c r="S109" i="3"/>
  <c r="T108" i="3"/>
  <c r="M29" i="3" l="1"/>
  <c r="N29" i="3" s="1"/>
  <c r="J29" i="3"/>
  <c r="L29" i="3" s="1"/>
  <c r="AC112" i="3"/>
  <c r="AA112" i="3"/>
  <c r="AD112" i="3"/>
  <c r="Z112" i="3"/>
  <c r="P112" i="3"/>
  <c r="Q112" i="3" s="1"/>
  <c r="R112" i="3" s="1"/>
  <c r="A113" i="3"/>
  <c r="B113" i="3" s="1"/>
  <c r="S110" i="3"/>
  <c r="T109" i="3"/>
  <c r="W29" i="3"/>
  <c r="P113" i="3" l="1"/>
  <c r="Q113" i="3" s="1"/>
  <c r="R113" i="3" s="1"/>
  <c r="AA113" i="3"/>
  <c r="A114" i="3"/>
  <c r="B114" i="3" s="1"/>
  <c r="AD113" i="3"/>
  <c r="AC113" i="3"/>
  <c r="Z113" i="3"/>
  <c r="S111" i="3"/>
  <c r="T110" i="3"/>
  <c r="AG30" i="3"/>
  <c r="AH30" i="3"/>
  <c r="U29" i="3"/>
  <c r="D30" i="3" s="1"/>
  <c r="Y28" i="3"/>
  <c r="E30" i="3" l="1"/>
  <c r="H30" i="3" s="1"/>
  <c r="K30" i="3" s="1"/>
  <c r="G30" i="3"/>
  <c r="P114" i="3"/>
  <c r="Q114" i="3" s="1"/>
  <c r="R114" i="3" s="1"/>
  <c r="AD114" i="3"/>
  <c r="AA114" i="3"/>
  <c r="Z114" i="3"/>
  <c r="AC114" i="3"/>
  <c r="A115" i="3"/>
  <c r="B115" i="3" s="1"/>
  <c r="S112" i="3"/>
  <c r="T111" i="3"/>
  <c r="F30" i="3" l="1"/>
  <c r="AC115" i="3"/>
  <c r="AA115" i="3"/>
  <c r="AD115" i="3"/>
  <c r="P115" i="3"/>
  <c r="Q115" i="3" s="1"/>
  <c r="R115" i="3" s="1"/>
  <c r="Z115" i="3"/>
  <c r="A116" i="3"/>
  <c r="B116" i="3" s="1"/>
  <c r="T112" i="3"/>
  <c r="S113" i="3"/>
  <c r="V30" i="3"/>
  <c r="AE30" i="3"/>
  <c r="I30" i="3"/>
  <c r="J30" i="3"/>
  <c r="M30" i="3"/>
  <c r="N30" i="3" s="1"/>
  <c r="AA116" i="3" l="1"/>
  <c r="A117" i="3"/>
  <c r="B117" i="3" s="1"/>
  <c r="Z116" i="3"/>
  <c r="P116" i="3"/>
  <c r="Q116" i="3" s="1"/>
  <c r="R116" i="3" s="1"/>
  <c r="AC116" i="3"/>
  <c r="AD116" i="3"/>
  <c r="T113" i="3"/>
  <c r="S114" i="3"/>
  <c r="W30" i="3"/>
  <c r="L30" i="3"/>
  <c r="T114" i="3" l="1"/>
  <c r="S115" i="3"/>
  <c r="AH31" i="3"/>
  <c r="U30" i="3"/>
  <c r="D31" i="3" s="1"/>
  <c r="AG31" i="3"/>
  <c r="Y29" i="3"/>
  <c r="AC117" i="3"/>
  <c r="Z117" i="3"/>
  <c r="P117" i="3"/>
  <c r="Q117" i="3" s="1"/>
  <c r="R117" i="3" s="1"/>
  <c r="AD117" i="3"/>
  <c r="AA117" i="3"/>
  <c r="A118" i="3"/>
  <c r="B118" i="3" s="1"/>
  <c r="E31" i="3" l="1"/>
  <c r="H31" i="3" s="1"/>
  <c r="K31" i="3" s="1"/>
  <c r="AC118" i="3"/>
  <c r="Z118" i="3"/>
  <c r="AA118" i="3"/>
  <c r="AD118" i="3"/>
  <c r="A119" i="3"/>
  <c r="B119" i="3" s="1"/>
  <c r="P118" i="3"/>
  <c r="Q118" i="3" s="1"/>
  <c r="R118" i="3" s="1"/>
  <c r="G31" i="3"/>
  <c r="S116" i="3"/>
  <c r="T115" i="3"/>
  <c r="F31" i="3" l="1"/>
  <c r="A120" i="3"/>
  <c r="B120" i="3" s="1"/>
  <c r="AD119" i="3"/>
  <c r="AA119" i="3"/>
  <c r="AC119" i="3"/>
  <c r="Z119" i="3"/>
  <c r="P119" i="3"/>
  <c r="Q119" i="3" s="1"/>
  <c r="R119" i="3" s="1"/>
  <c r="S117" i="3"/>
  <c r="T116" i="3"/>
  <c r="V31" i="3"/>
  <c r="AE31" i="3"/>
  <c r="I31" i="3"/>
  <c r="J31" i="3"/>
  <c r="M31" i="3"/>
  <c r="N31" i="3" s="1"/>
  <c r="W31" i="3" l="1"/>
  <c r="AD120" i="3"/>
  <c r="A121" i="3"/>
  <c r="B121" i="3" s="1"/>
  <c r="AC120" i="3"/>
  <c r="P120" i="3"/>
  <c r="Q120" i="3" s="1"/>
  <c r="R120" i="3" s="1"/>
  <c r="AA120" i="3"/>
  <c r="Z120" i="3"/>
  <c r="L31" i="3"/>
  <c r="T117" i="3"/>
  <c r="S118" i="3"/>
  <c r="AH32" i="3" l="1"/>
  <c r="U31" i="3"/>
  <c r="D32" i="3" s="1"/>
  <c r="AG32" i="3"/>
  <c r="Y30" i="3"/>
  <c r="T118" i="3"/>
  <c r="S119" i="3"/>
  <c r="Z121" i="3"/>
  <c r="AD121" i="3"/>
  <c r="AA121" i="3"/>
  <c r="A122" i="3"/>
  <c r="B122" i="3" s="1"/>
  <c r="P121" i="3"/>
  <c r="Q121" i="3" s="1"/>
  <c r="R121" i="3" s="1"/>
  <c r="AC121" i="3"/>
  <c r="E32" i="3" l="1"/>
  <c r="H32" i="3" s="1"/>
  <c r="K32" i="3" s="1"/>
  <c r="G32" i="3"/>
  <c r="AC122" i="3"/>
  <c r="AD122" i="3"/>
  <c r="A123" i="3"/>
  <c r="B123" i="3" s="1"/>
  <c r="Z122" i="3"/>
  <c r="AA122" i="3"/>
  <c r="P122" i="3"/>
  <c r="Q122" i="3" s="1"/>
  <c r="R122" i="3" s="1"/>
  <c r="T119" i="3"/>
  <c r="S120" i="3"/>
  <c r="F32" i="3" l="1"/>
  <c r="V32" i="3"/>
  <c r="AE32" i="3"/>
  <c r="T120" i="3"/>
  <c r="S121" i="3"/>
  <c r="AC123" i="3"/>
  <c r="P123" i="3"/>
  <c r="Q123" i="3" s="1"/>
  <c r="R123" i="3" s="1"/>
  <c r="AD123" i="3"/>
  <c r="A124" i="3"/>
  <c r="B124" i="3" s="1"/>
  <c r="Z123" i="3"/>
  <c r="AA123" i="3"/>
  <c r="I32" i="3"/>
  <c r="J32" i="3"/>
  <c r="M32" i="3"/>
  <c r="N32" i="3" s="1"/>
  <c r="Z124" i="3" l="1"/>
  <c r="AD124" i="3"/>
  <c r="A125" i="3"/>
  <c r="B125" i="3" s="1"/>
  <c r="AC124" i="3"/>
  <c r="AA124" i="3"/>
  <c r="P124" i="3"/>
  <c r="Q124" i="3" s="1"/>
  <c r="R124" i="3" s="1"/>
  <c r="T121" i="3"/>
  <c r="S122" i="3"/>
  <c r="W32" i="3"/>
  <c r="L32" i="3"/>
  <c r="U32" i="3" l="1"/>
  <c r="E33" i="3" s="1"/>
  <c r="H33" i="3" s="1"/>
  <c r="AH33" i="3"/>
  <c r="AG33" i="3"/>
  <c r="Y31" i="3"/>
  <c r="AC125" i="3"/>
  <c r="Z125" i="3"/>
  <c r="P125" i="3"/>
  <c r="Q125" i="3" s="1"/>
  <c r="R125" i="3" s="1"/>
  <c r="AD125" i="3"/>
  <c r="AA125" i="3"/>
  <c r="A126" i="3"/>
  <c r="B126" i="3" s="1"/>
  <c r="S123" i="3"/>
  <c r="T122" i="3"/>
  <c r="D33" i="3" l="1"/>
  <c r="F33" i="3" s="1"/>
  <c r="Z126" i="3"/>
  <c r="AC126" i="3"/>
  <c r="A127" i="3"/>
  <c r="B127" i="3" s="1"/>
  <c r="P126" i="3"/>
  <c r="Q126" i="3" s="1"/>
  <c r="R126" i="3" s="1"/>
  <c r="AA126" i="3"/>
  <c r="AD126" i="3"/>
  <c r="S124" i="3"/>
  <c r="T123" i="3"/>
  <c r="K33" i="3"/>
  <c r="G33" i="3" l="1"/>
  <c r="I33" i="3" s="1"/>
  <c r="AD127" i="3"/>
  <c r="AC127" i="3"/>
  <c r="Z127" i="3"/>
  <c r="P127" i="3"/>
  <c r="Q127" i="3" s="1"/>
  <c r="R127" i="3" s="1"/>
  <c r="A128" i="3"/>
  <c r="B128" i="3" s="1"/>
  <c r="AA127" i="3"/>
  <c r="V33" i="3"/>
  <c r="AE33" i="3"/>
  <c r="S125" i="3"/>
  <c r="T124" i="3"/>
  <c r="M33" i="3" l="1"/>
  <c r="N33" i="3" s="1"/>
  <c r="J33" i="3"/>
  <c r="L33" i="3" s="1"/>
  <c r="W33" i="3"/>
  <c r="AC128" i="3"/>
  <c r="Z128" i="3"/>
  <c r="AD128" i="3"/>
  <c r="AA128" i="3"/>
  <c r="A129" i="3"/>
  <c r="B129" i="3" s="1"/>
  <c r="P128" i="3"/>
  <c r="Q128" i="3" s="1"/>
  <c r="R128" i="3" s="1"/>
  <c r="T125" i="3"/>
  <c r="S126" i="3"/>
  <c r="AD129" i="3" l="1"/>
  <c r="AA129" i="3"/>
  <c r="P129" i="3"/>
  <c r="Q129" i="3" s="1"/>
  <c r="R129" i="3" s="1"/>
  <c r="A130" i="3"/>
  <c r="B130" i="3" s="1"/>
  <c r="Z129" i="3"/>
  <c r="AC129" i="3"/>
  <c r="T126" i="3"/>
  <c r="S127" i="3"/>
  <c r="AH34" i="3"/>
  <c r="AG34" i="3"/>
  <c r="U33" i="3"/>
  <c r="E34" i="3" s="1"/>
  <c r="H34" i="3" s="1"/>
  <c r="Y32" i="3"/>
  <c r="D34" i="3" l="1"/>
  <c r="F34" i="3" s="1"/>
  <c r="AA130" i="3"/>
  <c r="Z130" i="3"/>
  <c r="A131" i="3"/>
  <c r="B131" i="3" s="1"/>
  <c r="P130" i="3"/>
  <c r="Q130" i="3" s="1"/>
  <c r="R130" i="3" s="1"/>
  <c r="AC130" i="3"/>
  <c r="AD130" i="3"/>
  <c r="K34" i="3"/>
  <c r="T127" i="3"/>
  <c r="S128" i="3"/>
  <c r="G34" i="3" l="1"/>
  <c r="I34" i="3" s="1"/>
  <c r="Z131" i="3"/>
  <c r="P131" i="3"/>
  <c r="Q131" i="3" s="1"/>
  <c r="R131" i="3" s="1"/>
  <c r="AC131" i="3"/>
  <c r="A132" i="3"/>
  <c r="B132" i="3" s="1"/>
  <c r="AD131" i="3"/>
  <c r="AA131" i="3"/>
  <c r="S129" i="3"/>
  <c r="T128" i="3"/>
  <c r="V34" i="3"/>
  <c r="AE34" i="3"/>
  <c r="M34" i="3" l="1"/>
  <c r="N34" i="3" s="1"/>
  <c r="J34" i="3"/>
  <c r="L34" i="3" s="1"/>
  <c r="W34" i="3"/>
  <c r="P132" i="3"/>
  <c r="Q132" i="3" s="1"/>
  <c r="R132" i="3" s="1"/>
  <c r="AD132" i="3"/>
  <c r="AC132" i="3"/>
  <c r="Z132" i="3"/>
  <c r="A133" i="3"/>
  <c r="B133" i="3" s="1"/>
  <c r="AA132" i="3"/>
  <c r="S130" i="3"/>
  <c r="T129" i="3"/>
  <c r="AC133" i="3" l="1"/>
  <c r="AD133" i="3"/>
  <c r="P133" i="3"/>
  <c r="Q133" i="3" s="1"/>
  <c r="R133" i="3" s="1"/>
  <c r="Z133" i="3"/>
  <c r="A134" i="3"/>
  <c r="B134" i="3" s="1"/>
  <c r="AA133" i="3"/>
  <c r="T130" i="3"/>
  <c r="S131" i="3"/>
  <c r="U34" i="3"/>
  <c r="E35" i="3" s="1"/>
  <c r="H35" i="3" s="1"/>
  <c r="AH35" i="3"/>
  <c r="AG35" i="3"/>
  <c r="Y33" i="3"/>
  <c r="D35" i="3" l="1"/>
  <c r="F35" i="3" s="1"/>
  <c r="AA134" i="3"/>
  <c r="AD134" i="3"/>
  <c r="A135" i="3"/>
  <c r="B135" i="3" s="1"/>
  <c r="Z134" i="3"/>
  <c r="AC134" i="3"/>
  <c r="P134" i="3"/>
  <c r="Q134" i="3" s="1"/>
  <c r="R134" i="3" s="1"/>
  <c r="K35" i="3"/>
  <c r="T131" i="3"/>
  <c r="S132" i="3"/>
  <c r="G35" i="3" l="1"/>
  <c r="M35" i="3" s="1"/>
  <c r="N35" i="3" s="1"/>
  <c r="AC135" i="3"/>
  <c r="Z135" i="3"/>
  <c r="P135" i="3"/>
  <c r="Q135" i="3" s="1"/>
  <c r="R135" i="3" s="1"/>
  <c r="AD135" i="3"/>
  <c r="A136" i="3"/>
  <c r="B136" i="3" s="1"/>
  <c r="AA135" i="3"/>
  <c r="T132" i="3"/>
  <c r="S133" i="3"/>
  <c r="V35" i="3"/>
  <c r="AE35" i="3"/>
  <c r="J35" i="3" l="1"/>
  <c r="L35" i="3" s="1"/>
  <c r="I35" i="3"/>
  <c r="W35" i="3" s="1"/>
  <c r="AA136" i="3"/>
  <c r="Z136" i="3"/>
  <c r="P136" i="3"/>
  <c r="Q136" i="3" s="1"/>
  <c r="R136" i="3" s="1"/>
  <c r="AD136" i="3"/>
  <c r="AC136" i="3"/>
  <c r="A137" i="3"/>
  <c r="B137" i="3" s="1"/>
  <c r="T133" i="3"/>
  <c r="S134" i="3"/>
  <c r="AA137" i="3" l="1"/>
  <c r="Z137" i="3"/>
  <c r="AD137" i="3"/>
  <c r="P137" i="3"/>
  <c r="Q137" i="3" s="1"/>
  <c r="R137" i="3" s="1"/>
  <c r="AC137" i="3"/>
  <c r="A138" i="3"/>
  <c r="B138" i="3" s="1"/>
  <c r="T134" i="3"/>
  <c r="S135" i="3"/>
  <c r="AG36" i="3"/>
  <c r="AH36" i="3"/>
  <c r="U35" i="3"/>
  <c r="E36" i="3" s="1"/>
  <c r="H36" i="3" s="1"/>
  <c r="Y34" i="3"/>
  <c r="D36" i="3" l="1"/>
  <c r="F36" i="3" s="1"/>
  <c r="K36" i="3"/>
  <c r="AA138" i="3"/>
  <c r="AC138" i="3"/>
  <c r="AD138" i="3"/>
  <c r="Z138" i="3"/>
  <c r="A139" i="3"/>
  <c r="B139" i="3" s="1"/>
  <c r="P138" i="3"/>
  <c r="Q138" i="3" s="1"/>
  <c r="R138" i="3" s="1"/>
  <c r="S136" i="3"/>
  <c r="T135" i="3"/>
  <c r="G36" i="3" l="1"/>
  <c r="I36" i="3" s="1"/>
  <c r="T136" i="3"/>
  <c r="S137" i="3"/>
  <c r="A140" i="3"/>
  <c r="B140" i="3" s="1"/>
  <c r="P139" i="3"/>
  <c r="Q139" i="3" s="1"/>
  <c r="R139" i="3" s="1"/>
  <c r="AD139" i="3"/>
  <c r="AC139" i="3"/>
  <c r="Z139" i="3"/>
  <c r="AA139" i="3"/>
  <c r="V36" i="3"/>
  <c r="AE36" i="3"/>
  <c r="M36" i="3" l="1"/>
  <c r="N36" i="3" s="1"/>
  <c r="J36" i="3"/>
  <c r="L36" i="3" s="1"/>
  <c r="W36" i="3"/>
  <c r="AC140" i="3"/>
  <c r="P140" i="3"/>
  <c r="Q140" i="3" s="1"/>
  <c r="R140" i="3" s="1"/>
  <c r="AA140" i="3"/>
  <c r="AD140" i="3"/>
  <c r="Z140" i="3"/>
  <c r="A141" i="3"/>
  <c r="B141" i="3" s="1"/>
  <c r="T137" i="3"/>
  <c r="S138" i="3"/>
  <c r="P141" i="3" l="1"/>
  <c r="Q141" i="3" s="1"/>
  <c r="R141" i="3" s="1"/>
  <c r="AD141" i="3"/>
  <c r="AC141" i="3"/>
  <c r="Z141" i="3"/>
  <c r="A142" i="3"/>
  <c r="B142" i="3" s="1"/>
  <c r="AA141" i="3"/>
  <c r="AH37" i="3"/>
  <c r="U36" i="3"/>
  <c r="E37" i="3" s="1"/>
  <c r="H37" i="3" s="1"/>
  <c r="AG37" i="3"/>
  <c r="Y35" i="3"/>
  <c r="T138" i="3"/>
  <c r="S139" i="3"/>
  <c r="D37" i="3" l="1"/>
  <c r="G37" i="3" s="1"/>
  <c r="AC142" i="3"/>
  <c r="AA142" i="3"/>
  <c r="AD142" i="3"/>
  <c r="Z142" i="3"/>
  <c r="P142" i="3"/>
  <c r="Q142" i="3" s="1"/>
  <c r="R142" i="3" s="1"/>
  <c r="A143" i="3"/>
  <c r="B143" i="3" s="1"/>
  <c r="K37" i="3"/>
  <c r="S140" i="3"/>
  <c r="T139" i="3"/>
  <c r="F37" i="3" l="1"/>
  <c r="AD143" i="3"/>
  <c r="AA143" i="3"/>
  <c r="Z143" i="3"/>
  <c r="A144" i="3"/>
  <c r="B144" i="3" s="1"/>
  <c r="P143" i="3"/>
  <c r="Q143" i="3" s="1"/>
  <c r="R143" i="3" s="1"/>
  <c r="AC143" i="3"/>
  <c r="S141" i="3"/>
  <c r="T140" i="3"/>
  <c r="I37" i="3"/>
  <c r="J37" i="3"/>
  <c r="M37" i="3"/>
  <c r="N37" i="3" s="1"/>
  <c r="V37" i="3"/>
  <c r="AE37" i="3"/>
  <c r="W37" i="3" l="1"/>
  <c r="AC144" i="3"/>
  <c r="AD144" i="3"/>
  <c r="P144" i="3"/>
  <c r="Q144" i="3" s="1"/>
  <c r="R144" i="3" s="1"/>
  <c r="Z144" i="3"/>
  <c r="AA144" i="3"/>
  <c r="A145" i="3"/>
  <c r="B145" i="3" s="1"/>
  <c r="L37" i="3"/>
  <c r="S142" i="3"/>
  <c r="T141" i="3"/>
  <c r="A146" i="3" l="1"/>
  <c r="B146" i="3" s="1"/>
  <c r="Z145" i="3"/>
  <c r="AA145" i="3"/>
  <c r="AC145" i="3"/>
  <c r="AD145" i="3"/>
  <c r="P145" i="3"/>
  <c r="Q145" i="3" s="1"/>
  <c r="R145" i="3" s="1"/>
  <c r="S143" i="3"/>
  <c r="T142" i="3"/>
  <c r="AG38" i="3"/>
  <c r="U37" i="3"/>
  <c r="D38" i="3" s="1"/>
  <c r="AH38" i="3"/>
  <c r="Y36" i="3"/>
  <c r="E38" i="3" l="1"/>
  <c r="H38" i="3" s="1"/>
  <c r="K38" i="3" s="1"/>
  <c r="G38" i="3"/>
  <c r="P146" i="3"/>
  <c r="Q146" i="3" s="1"/>
  <c r="R146" i="3" s="1"/>
  <c r="AA146" i="3"/>
  <c r="AC146" i="3"/>
  <c r="Z146" i="3"/>
  <c r="AD146" i="3"/>
  <c r="A147" i="3"/>
  <c r="B147" i="3" s="1"/>
  <c r="T143" i="3"/>
  <c r="S144" i="3"/>
  <c r="F38" i="3" l="1"/>
  <c r="T144" i="3"/>
  <c r="S145" i="3"/>
  <c r="V38" i="3"/>
  <c r="AE38" i="3"/>
  <c r="AD147" i="3"/>
  <c r="AA147" i="3"/>
  <c r="Z147" i="3"/>
  <c r="A148" i="3"/>
  <c r="B148" i="3" s="1"/>
  <c r="P147" i="3"/>
  <c r="Q147" i="3" s="1"/>
  <c r="R147" i="3" s="1"/>
  <c r="AC147" i="3"/>
  <c r="I38" i="3"/>
  <c r="J38" i="3"/>
  <c r="M38" i="3"/>
  <c r="N38" i="3" s="1"/>
  <c r="W38" i="3" l="1"/>
  <c r="P148" i="3"/>
  <c r="Q148" i="3" s="1"/>
  <c r="R148" i="3" s="1"/>
  <c r="AD148" i="3"/>
  <c r="A149" i="3"/>
  <c r="B149" i="3" s="1"/>
  <c r="Z148" i="3"/>
  <c r="AA148" i="3"/>
  <c r="AC148" i="3"/>
  <c r="S146" i="3"/>
  <c r="T145" i="3"/>
  <c r="L38" i="3"/>
  <c r="Z149" i="3" l="1"/>
  <c r="A150" i="3"/>
  <c r="B150" i="3" s="1"/>
  <c r="AD149" i="3"/>
  <c r="AA149" i="3"/>
  <c r="AC149" i="3"/>
  <c r="P149" i="3"/>
  <c r="Q149" i="3" s="1"/>
  <c r="R149" i="3" s="1"/>
  <c r="U38" i="3"/>
  <c r="D39" i="3" s="1"/>
  <c r="AG39" i="3"/>
  <c r="AH39" i="3"/>
  <c r="Y37" i="3"/>
  <c r="T146" i="3"/>
  <c r="S147" i="3"/>
  <c r="E39" i="3" l="1"/>
  <c r="H39" i="3" s="1"/>
  <c r="K39" i="3" s="1"/>
  <c r="P150" i="3"/>
  <c r="Q150" i="3" s="1"/>
  <c r="R150" i="3" s="1"/>
  <c r="AA150" i="3"/>
  <c r="AC150" i="3"/>
  <c r="A151" i="3"/>
  <c r="B151" i="3" s="1"/>
  <c r="AD150" i="3"/>
  <c r="Z150" i="3"/>
  <c r="G39" i="3"/>
  <c r="S148" i="3"/>
  <c r="T147" i="3"/>
  <c r="F39" i="3" l="1"/>
  <c r="P151" i="3"/>
  <c r="Q151" i="3" s="1"/>
  <c r="R151" i="3" s="1"/>
  <c r="AC151" i="3"/>
  <c r="AD151" i="3"/>
  <c r="AA151" i="3"/>
  <c r="Z151" i="3"/>
  <c r="A152" i="3"/>
  <c r="B152" i="3" s="1"/>
  <c r="I39" i="3"/>
  <c r="J39" i="3"/>
  <c r="M39" i="3"/>
  <c r="N39" i="3" s="1"/>
  <c r="V39" i="3"/>
  <c r="AE39" i="3"/>
  <c r="T148" i="3"/>
  <c r="S149" i="3"/>
  <c r="W39" i="3" l="1"/>
  <c r="P152" i="3"/>
  <c r="Q152" i="3" s="1"/>
  <c r="R152" i="3" s="1"/>
  <c r="AC152" i="3"/>
  <c r="AA152" i="3"/>
  <c r="AD152" i="3"/>
  <c r="A153" i="3"/>
  <c r="B153" i="3" s="1"/>
  <c r="Z152" i="3"/>
  <c r="L39" i="3"/>
  <c r="T149" i="3"/>
  <c r="S150" i="3"/>
  <c r="AC153" i="3" l="1"/>
  <c r="A154" i="3"/>
  <c r="B154" i="3" s="1"/>
  <c r="Z153" i="3"/>
  <c r="AD153" i="3"/>
  <c r="P153" i="3"/>
  <c r="Q153" i="3" s="1"/>
  <c r="R153" i="3" s="1"/>
  <c r="AA153" i="3"/>
  <c r="AH40" i="3"/>
  <c r="AG40" i="3"/>
  <c r="U39" i="3"/>
  <c r="E40" i="3" s="1"/>
  <c r="H40" i="3" s="1"/>
  <c r="Y38" i="3"/>
  <c r="S151" i="3"/>
  <c r="T150" i="3"/>
  <c r="D40" i="3" l="1"/>
  <c r="F40" i="3" s="1"/>
  <c r="K40" i="3"/>
  <c r="S152" i="3"/>
  <c r="T151" i="3"/>
  <c r="AC154" i="3"/>
  <c r="P154" i="3"/>
  <c r="Q154" i="3" s="1"/>
  <c r="R154" i="3" s="1"/>
  <c r="AA154" i="3"/>
  <c r="Z154" i="3"/>
  <c r="A155" i="3"/>
  <c r="B155" i="3" s="1"/>
  <c r="AD154" i="3"/>
  <c r="G40" i="3" l="1"/>
  <c r="M40" i="3" s="1"/>
  <c r="N40" i="3" s="1"/>
  <c r="A156" i="3"/>
  <c r="B156" i="3" s="1"/>
  <c r="AD155" i="3"/>
  <c r="P155" i="3"/>
  <c r="Q155" i="3" s="1"/>
  <c r="R155" i="3" s="1"/>
  <c r="AC155" i="3"/>
  <c r="AA155" i="3"/>
  <c r="Z155" i="3"/>
  <c r="T152" i="3"/>
  <c r="S153" i="3"/>
  <c r="V40" i="3"/>
  <c r="AE40" i="3"/>
  <c r="I40" i="3" l="1"/>
  <c r="W40" i="3" s="1"/>
  <c r="J40" i="3"/>
  <c r="L40" i="3" s="1"/>
  <c r="AC156" i="3"/>
  <c r="P156" i="3"/>
  <c r="Q156" i="3" s="1"/>
  <c r="R156" i="3" s="1"/>
  <c r="AD156" i="3"/>
  <c r="Z156" i="3"/>
  <c r="A157" i="3"/>
  <c r="B157" i="3" s="1"/>
  <c r="AA156" i="3"/>
  <c r="S154" i="3"/>
  <c r="T153" i="3"/>
  <c r="A158" i="3" l="1"/>
  <c r="B158" i="3" s="1"/>
  <c r="P157" i="3"/>
  <c r="Q157" i="3" s="1"/>
  <c r="R157" i="3" s="1"/>
  <c r="AD157" i="3"/>
  <c r="Z157" i="3"/>
  <c r="AC157" i="3"/>
  <c r="AA157" i="3"/>
  <c r="AG41" i="3"/>
  <c r="AH41" i="3"/>
  <c r="U40" i="3"/>
  <c r="D41" i="3" s="1"/>
  <c r="Y39" i="3"/>
  <c r="T154" i="3"/>
  <c r="S155" i="3"/>
  <c r="E41" i="3" l="1"/>
  <c r="H41" i="3" s="1"/>
  <c r="K41" i="3" s="1"/>
  <c r="G41" i="3"/>
  <c r="P158" i="3"/>
  <c r="Q158" i="3" s="1"/>
  <c r="R158" i="3" s="1"/>
  <c r="AD158" i="3"/>
  <c r="A159" i="3"/>
  <c r="B159" i="3" s="1"/>
  <c r="AA158" i="3"/>
  <c r="Z158" i="3"/>
  <c r="AC158" i="3"/>
  <c r="S156" i="3"/>
  <c r="T155" i="3"/>
  <c r="F41" i="3" l="1"/>
  <c r="AD159" i="3"/>
  <c r="Z159" i="3"/>
  <c r="AA159" i="3"/>
  <c r="P159" i="3"/>
  <c r="Q159" i="3" s="1"/>
  <c r="R159" i="3" s="1"/>
  <c r="A160" i="3"/>
  <c r="B160" i="3" s="1"/>
  <c r="AC159" i="3"/>
  <c r="S157" i="3"/>
  <c r="T156" i="3"/>
  <c r="V41" i="3"/>
  <c r="AE41" i="3"/>
  <c r="I41" i="3"/>
  <c r="J41" i="3"/>
  <c r="M41" i="3"/>
  <c r="N41" i="3" s="1"/>
  <c r="A161" i="3" l="1"/>
  <c r="B161" i="3" s="1"/>
  <c r="P160" i="3"/>
  <c r="Q160" i="3" s="1"/>
  <c r="R160" i="3" s="1"/>
  <c r="AA160" i="3"/>
  <c r="AC160" i="3"/>
  <c r="Z160" i="3"/>
  <c r="AD160" i="3"/>
  <c r="W41" i="3"/>
  <c r="L41" i="3"/>
  <c r="S158" i="3"/>
  <c r="T157" i="3"/>
  <c r="A162" i="3" l="1"/>
  <c r="B162" i="3" s="1"/>
  <c r="AA161" i="3"/>
  <c r="Z161" i="3"/>
  <c r="AC161" i="3"/>
  <c r="AD161" i="3"/>
  <c r="P161" i="3"/>
  <c r="Q161" i="3" s="1"/>
  <c r="R161" i="3" s="1"/>
  <c r="T158" i="3"/>
  <c r="S159" i="3"/>
  <c r="AH42" i="3"/>
  <c r="U41" i="3"/>
  <c r="E42" i="3" s="1"/>
  <c r="H42" i="3" s="1"/>
  <c r="AG42" i="3"/>
  <c r="Y40" i="3"/>
  <c r="D42" i="3" l="1"/>
  <c r="F42" i="3" s="1"/>
  <c r="K42" i="3"/>
  <c r="A163" i="3"/>
  <c r="B163" i="3" s="1"/>
  <c r="Z162" i="3"/>
  <c r="AD162" i="3"/>
  <c r="AC162" i="3"/>
  <c r="AA162" i="3"/>
  <c r="P162" i="3"/>
  <c r="Q162" i="3" s="1"/>
  <c r="R162" i="3" s="1"/>
  <c r="S160" i="3"/>
  <c r="T159" i="3"/>
  <c r="G42" i="3" l="1"/>
  <c r="M42" i="3" s="1"/>
  <c r="N42" i="3" s="1"/>
  <c r="T160" i="3"/>
  <c r="S161" i="3"/>
  <c r="P163" i="3"/>
  <c r="Q163" i="3" s="1"/>
  <c r="R163" i="3" s="1"/>
  <c r="AC163" i="3"/>
  <c r="A164" i="3"/>
  <c r="B164" i="3" s="1"/>
  <c r="AA163" i="3"/>
  <c r="AD163" i="3"/>
  <c r="Z163" i="3"/>
  <c r="V42" i="3"/>
  <c r="AE42" i="3"/>
  <c r="J42" i="3" l="1"/>
  <c r="L42" i="3" s="1"/>
  <c r="I42" i="3"/>
  <c r="W42" i="3" s="1"/>
  <c r="AD164" i="3"/>
  <c r="AA164" i="3"/>
  <c r="Z164" i="3"/>
  <c r="A165" i="3"/>
  <c r="B165" i="3" s="1"/>
  <c r="AC164" i="3"/>
  <c r="P164" i="3"/>
  <c r="Q164" i="3" s="1"/>
  <c r="R164" i="3" s="1"/>
  <c r="T161" i="3"/>
  <c r="S162" i="3"/>
  <c r="AD165" i="3" l="1"/>
  <c r="A166" i="3"/>
  <c r="B166" i="3" s="1"/>
  <c r="AA165" i="3"/>
  <c r="AC165" i="3"/>
  <c r="Z165" i="3"/>
  <c r="P165" i="3"/>
  <c r="Q165" i="3" s="1"/>
  <c r="R165" i="3" s="1"/>
  <c r="T162" i="3"/>
  <c r="S163" i="3"/>
  <c r="AG43" i="3"/>
  <c r="AH43" i="3"/>
  <c r="U42" i="3"/>
  <c r="D43" i="3" s="1"/>
  <c r="Y41" i="3"/>
  <c r="E43" i="3" l="1"/>
  <c r="H43" i="3" s="1"/>
  <c r="K43" i="3" s="1"/>
  <c r="AD166" i="3"/>
  <c r="AC166" i="3"/>
  <c r="AA166" i="3"/>
  <c r="Z166" i="3"/>
  <c r="A167" i="3"/>
  <c r="B167" i="3" s="1"/>
  <c r="P166" i="3"/>
  <c r="Q166" i="3" s="1"/>
  <c r="R166" i="3" s="1"/>
  <c r="S164" i="3"/>
  <c r="T163" i="3"/>
  <c r="G43" i="3"/>
  <c r="F43" i="3" l="1"/>
  <c r="AD167" i="3"/>
  <c r="P167" i="3"/>
  <c r="Q167" i="3" s="1"/>
  <c r="R167" i="3" s="1"/>
  <c r="A168" i="3"/>
  <c r="B168" i="3" s="1"/>
  <c r="AA167" i="3"/>
  <c r="AC167" i="3"/>
  <c r="Z167" i="3"/>
  <c r="T164" i="3"/>
  <c r="S165" i="3"/>
  <c r="V43" i="3"/>
  <c r="AE43" i="3"/>
  <c r="I43" i="3"/>
  <c r="J43" i="3"/>
  <c r="M43" i="3"/>
  <c r="N43" i="3" s="1"/>
  <c r="W43" i="3" l="1"/>
  <c r="AD168" i="3"/>
  <c r="AC168" i="3"/>
  <c r="P168" i="3"/>
  <c r="Q168" i="3" s="1"/>
  <c r="R168" i="3" s="1"/>
  <c r="AA168" i="3"/>
  <c r="A169" i="3"/>
  <c r="B169" i="3" s="1"/>
  <c r="Z168" i="3"/>
  <c r="S166" i="3"/>
  <c r="T165" i="3"/>
  <c r="L43" i="3"/>
  <c r="AC169" i="3" l="1"/>
  <c r="P169" i="3"/>
  <c r="Q169" i="3" s="1"/>
  <c r="R169" i="3" s="1"/>
  <c r="AD169" i="3"/>
  <c r="Z169" i="3"/>
  <c r="AA169" i="3"/>
  <c r="A170" i="3"/>
  <c r="B170" i="3" s="1"/>
  <c r="AG44" i="3"/>
  <c r="AH44" i="3"/>
  <c r="U43" i="3"/>
  <c r="D44" i="3" s="1"/>
  <c r="Y42" i="3"/>
  <c r="T166" i="3"/>
  <c r="S167" i="3"/>
  <c r="E44" i="3" l="1"/>
  <c r="H44" i="3" s="1"/>
  <c r="K44" i="3" s="1"/>
  <c r="A171" i="3"/>
  <c r="B171" i="3" s="1"/>
  <c r="P170" i="3"/>
  <c r="Q170" i="3" s="1"/>
  <c r="R170" i="3" s="1"/>
  <c r="AA170" i="3"/>
  <c r="Z170" i="3"/>
  <c r="AD170" i="3"/>
  <c r="AC170" i="3"/>
  <c r="G44" i="3"/>
  <c r="T167" i="3"/>
  <c r="S168" i="3"/>
  <c r="F44" i="3" l="1"/>
  <c r="P171" i="3"/>
  <c r="Q171" i="3" s="1"/>
  <c r="R171" i="3" s="1"/>
  <c r="Z171" i="3"/>
  <c r="AD171" i="3"/>
  <c r="AC171" i="3"/>
  <c r="AA171" i="3"/>
  <c r="A172" i="3"/>
  <c r="B172" i="3" s="1"/>
  <c r="I44" i="3"/>
  <c r="J44" i="3"/>
  <c r="M44" i="3"/>
  <c r="N44" i="3" s="1"/>
  <c r="V44" i="3"/>
  <c r="AE44" i="3"/>
  <c r="T168" i="3"/>
  <c r="S169" i="3"/>
  <c r="W44" i="3" l="1"/>
  <c r="L44" i="3"/>
  <c r="AC172" i="3"/>
  <c r="AD172" i="3"/>
  <c r="Z172" i="3"/>
  <c r="A173" i="3"/>
  <c r="B173" i="3" s="1"/>
  <c r="AA172" i="3"/>
  <c r="P172" i="3"/>
  <c r="Q172" i="3" s="1"/>
  <c r="R172" i="3" s="1"/>
  <c r="S170" i="3"/>
  <c r="T169" i="3"/>
  <c r="AC173" i="3" l="1"/>
  <c r="AA173" i="3"/>
  <c r="A174" i="3"/>
  <c r="B174" i="3" s="1"/>
  <c r="P173" i="3"/>
  <c r="Q173" i="3" s="1"/>
  <c r="R173" i="3" s="1"/>
  <c r="AD173" i="3"/>
  <c r="Z173" i="3"/>
  <c r="S171" i="3"/>
  <c r="T170" i="3"/>
  <c r="U44" i="3"/>
  <c r="D45" i="3" s="1"/>
  <c r="AH45" i="3"/>
  <c r="AG45" i="3"/>
  <c r="Y43" i="3"/>
  <c r="E45" i="3" l="1"/>
  <c r="H45" i="3" s="1"/>
  <c r="K45" i="3" s="1"/>
  <c r="G45" i="3"/>
  <c r="AC174" i="3"/>
  <c r="AD174" i="3"/>
  <c r="AA174" i="3"/>
  <c r="P174" i="3"/>
  <c r="Q174" i="3" s="1"/>
  <c r="R174" i="3" s="1"/>
  <c r="Z174" i="3"/>
  <c r="A175" i="3"/>
  <c r="B175" i="3" s="1"/>
  <c r="S172" i="3"/>
  <c r="T171" i="3"/>
  <c r="F45" i="3" l="1"/>
  <c r="S173" i="3"/>
  <c r="T172" i="3"/>
  <c r="Z175" i="3"/>
  <c r="A176" i="3"/>
  <c r="B176" i="3" s="1"/>
  <c r="P175" i="3"/>
  <c r="Q175" i="3" s="1"/>
  <c r="R175" i="3" s="1"/>
  <c r="AD175" i="3"/>
  <c r="AA175" i="3"/>
  <c r="AC175" i="3"/>
  <c r="V45" i="3"/>
  <c r="AE45" i="3"/>
  <c r="I45" i="3"/>
  <c r="J45" i="3"/>
  <c r="M45" i="3"/>
  <c r="N45" i="3" s="1"/>
  <c r="W45" i="3" l="1"/>
  <c r="A177" i="3"/>
  <c r="B177" i="3" s="1"/>
  <c r="AA176" i="3"/>
  <c r="Z176" i="3"/>
  <c r="AC176" i="3"/>
  <c r="AD176" i="3"/>
  <c r="P176" i="3"/>
  <c r="Q176" i="3" s="1"/>
  <c r="R176" i="3" s="1"/>
  <c r="L45" i="3"/>
  <c r="S174" i="3"/>
  <c r="T173" i="3"/>
  <c r="P177" i="3" l="1"/>
  <c r="Q177" i="3" s="1"/>
  <c r="R177" i="3" s="1"/>
  <c r="A178" i="3"/>
  <c r="B178" i="3" s="1"/>
  <c r="AC177" i="3"/>
  <c r="AA177" i="3"/>
  <c r="AD177" i="3"/>
  <c r="Z177" i="3"/>
  <c r="T174" i="3"/>
  <c r="S175" i="3"/>
  <c r="U45" i="3"/>
  <c r="D46" i="3" s="1"/>
  <c r="AH46" i="3"/>
  <c r="AG46" i="3"/>
  <c r="Y44" i="3"/>
  <c r="E46" i="3" l="1"/>
  <c r="H46" i="3" s="1"/>
  <c r="K46" i="3" s="1"/>
  <c r="AC178" i="3"/>
  <c r="AD178" i="3"/>
  <c r="Z178" i="3"/>
  <c r="P178" i="3"/>
  <c r="Q178" i="3" s="1"/>
  <c r="R178" i="3" s="1"/>
  <c r="A179" i="3"/>
  <c r="B179" i="3" s="1"/>
  <c r="AA178" i="3"/>
  <c r="G46" i="3"/>
  <c r="S176" i="3"/>
  <c r="T175" i="3"/>
  <c r="F46" i="3" l="1"/>
  <c r="AA179" i="3"/>
  <c r="AC179" i="3"/>
  <c r="P179" i="3"/>
  <c r="Q179" i="3" s="1"/>
  <c r="R179" i="3" s="1"/>
  <c r="Z179" i="3"/>
  <c r="A180" i="3"/>
  <c r="B180" i="3" s="1"/>
  <c r="AD179" i="3"/>
  <c r="V46" i="3"/>
  <c r="AE46" i="3"/>
  <c r="T176" i="3"/>
  <c r="S177" i="3"/>
  <c r="I46" i="3"/>
  <c r="J46" i="3"/>
  <c r="M46" i="3"/>
  <c r="N46" i="3" s="1"/>
  <c r="AC180" i="3" l="1"/>
  <c r="A181" i="3"/>
  <c r="B181" i="3" s="1"/>
  <c r="AD180" i="3"/>
  <c r="P180" i="3"/>
  <c r="Q180" i="3" s="1"/>
  <c r="R180" i="3" s="1"/>
  <c r="Z180" i="3"/>
  <c r="AA180" i="3"/>
  <c r="S178" i="3"/>
  <c r="T177" i="3"/>
  <c r="L46" i="3"/>
  <c r="W46" i="3"/>
  <c r="AH47" i="3" l="1"/>
  <c r="U46" i="3"/>
  <c r="E47" i="3" s="1"/>
  <c r="H47" i="3" s="1"/>
  <c r="AG47" i="3"/>
  <c r="Y45" i="3"/>
  <c r="A182" i="3"/>
  <c r="B182" i="3" s="1"/>
  <c r="AD181" i="3"/>
  <c r="AA181" i="3"/>
  <c r="Z181" i="3"/>
  <c r="AC181" i="3"/>
  <c r="P181" i="3"/>
  <c r="Q181" i="3" s="1"/>
  <c r="R181" i="3" s="1"/>
  <c r="T178" i="3"/>
  <c r="S179" i="3"/>
  <c r="D47" i="3" l="1"/>
  <c r="G47" i="3" s="1"/>
  <c r="AC182" i="3"/>
  <c r="A183" i="3"/>
  <c r="B183" i="3" s="1"/>
  <c r="Z182" i="3"/>
  <c r="AD182" i="3"/>
  <c r="P182" i="3"/>
  <c r="Q182" i="3" s="1"/>
  <c r="R182" i="3" s="1"/>
  <c r="AA182" i="3"/>
  <c r="K47" i="3"/>
  <c r="S180" i="3"/>
  <c r="T179" i="3"/>
  <c r="F47" i="3" l="1"/>
  <c r="AA183" i="3"/>
  <c r="AC183" i="3"/>
  <c r="AD183" i="3"/>
  <c r="A184" i="3"/>
  <c r="B184" i="3" s="1"/>
  <c r="P183" i="3"/>
  <c r="Q183" i="3" s="1"/>
  <c r="R183" i="3" s="1"/>
  <c r="Z183" i="3"/>
  <c r="T180" i="3"/>
  <c r="S181" i="3"/>
  <c r="I47" i="3"/>
  <c r="J47" i="3"/>
  <c r="M47" i="3"/>
  <c r="N47" i="3" s="1"/>
  <c r="V47" i="3"/>
  <c r="AE47" i="3"/>
  <c r="W47" i="3" l="1"/>
  <c r="AA184" i="3"/>
  <c r="AD184" i="3"/>
  <c r="A185" i="3"/>
  <c r="B185" i="3" s="1"/>
  <c r="Z184" i="3"/>
  <c r="P184" i="3"/>
  <c r="Q184" i="3" s="1"/>
  <c r="R184" i="3" s="1"/>
  <c r="AC184" i="3"/>
  <c r="S182" i="3"/>
  <c r="T181" i="3"/>
  <c r="L47" i="3"/>
  <c r="U47" i="3" l="1"/>
  <c r="D48" i="3" s="1"/>
  <c r="AH48" i="3"/>
  <c r="AG48" i="3"/>
  <c r="Y46" i="3"/>
  <c r="AC185" i="3"/>
  <c r="AA185" i="3"/>
  <c r="AD185" i="3"/>
  <c r="A186" i="3"/>
  <c r="B186" i="3" s="1"/>
  <c r="Z185" i="3"/>
  <c r="P185" i="3"/>
  <c r="Q185" i="3" s="1"/>
  <c r="R185" i="3" s="1"/>
  <c r="T182" i="3"/>
  <c r="S183" i="3"/>
  <c r="E48" i="3" l="1"/>
  <c r="H48" i="3" s="1"/>
  <c r="K48" i="3" s="1"/>
  <c r="G48" i="3"/>
  <c r="Z186" i="3"/>
  <c r="AA186" i="3"/>
  <c r="P186" i="3"/>
  <c r="Q186" i="3" s="1"/>
  <c r="R186" i="3" s="1"/>
  <c r="AD186" i="3"/>
  <c r="A187" i="3"/>
  <c r="B187" i="3" s="1"/>
  <c r="AC186" i="3"/>
  <c r="T183" i="3"/>
  <c r="S184" i="3"/>
  <c r="F48" i="3" l="1"/>
  <c r="P187" i="3"/>
  <c r="Q187" i="3" s="1"/>
  <c r="R187" i="3" s="1"/>
  <c r="AC187" i="3"/>
  <c r="Z187" i="3"/>
  <c r="A188" i="3"/>
  <c r="B188" i="3" s="1"/>
  <c r="AA187" i="3"/>
  <c r="AD187" i="3"/>
  <c r="T184" i="3"/>
  <c r="S185" i="3"/>
  <c r="V48" i="3"/>
  <c r="AE48" i="3"/>
  <c r="I48" i="3"/>
  <c r="J48" i="3"/>
  <c r="M48" i="3"/>
  <c r="N48" i="3" s="1"/>
  <c r="W48" i="3" l="1"/>
  <c r="AA188" i="3"/>
  <c r="AC188" i="3"/>
  <c r="Z188" i="3"/>
  <c r="AD188" i="3"/>
  <c r="P188" i="3"/>
  <c r="Q188" i="3" s="1"/>
  <c r="R188" i="3" s="1"/>
  <c r="A189" i="3"/>
  <c r="B189" i="3" s="1"/>
  <c r="S186" i="3"/>
  <c r="T185" i="3"/>
  <c r="L48" i="3"/>
  <c r="AG49" i="3" l="1"/>
  <c r="AH49" i="3"/>
  <c r="U48" i="3"/>
  <c r="E49" i="3" s="1"/>
  <c r="H49" i="3" s="1"/>
  <c r="Y47" i="3"/>
  <c r="AA189" i="3"/>
  <c r="Z189" i="3"/>
  <c r="P189" i="3"/>
  <c r="Q189" i="3" s="1"/>
  <c r="R189" i="3" s="1"/>
  <c r="AC189" i="3"/>
  <c r="AD189" i="3"/>
  <c r="A190" i="3"/>
  <c r="B190" i="3" s="1"/>
  <c r="S187" i="3"/>
  <c r="T186" i="3"/>
  <c r="D49" i="3" l="1"/>
  <c r="F49" i="3" s="1"/>
  <c r="AD190" i="3"/>
  <c r="AA190" i="3"/>
  <c r="AC190" i="3"/>
  <c r="P190" i="3"/>
  <c r="Q190" i="3" s="1"/>
  <c r="R190" i="3" s="1"/>
  <c r="Z190" i="3"/>
  <c r="A191" i="3"/>
  <c r="B191" i="3" s="1"/>
  <c r="T187" i="3"/>
  <c r="S188" i="3"/>
  <c r="K49" i="3"/>
  <c r="G49" i="3" l="1"/>
  <c r="I49" i="3" s="1"/>
  <c r="Z191" i="3"/>
  <c r="P191" i="3"/>
  <c r="Q191" i="3" s="1"/>
  <c r="R191" i="3" s="1"/>
  <c r="AD191" i="3"/>
  <c r="AA191" i="3"/>
  <c r="AC191" i="3"/>
  <c r="A192" i="3"/>
  <c r="B192" i="3" s="1"/>
  <c r="V49" i="3"/>
  <c r="AE49" i="3"/>
  <c r="S189" i="3"/>
  <c r="T188" i="3"/>
  <c r="M49" i="3" l="1"/>
  <c r="N49" i="3" s="1"/>
  <c r="J49" i="3"/>
  <c r="L49" i="3" s="1"/>
  <c r="W49" i="3"/>
  <c r="P192" i="3"/>
  <c r="Q192" i="3" s="1"/>
  <c r="R192" i="3" s="1"/>
  <c r="AC192" i="3"/>
  <c r="AD192" i="3"/>
  <c r="AA192" i="3"/>
  <c r="A193" i="3"/>
  <c r="B193" i="3" s="1"/>
  <c r="Z192" i="3"/>
  <c r="T189" i="3"/>
  <c r="S190" i="3"/>
  <c r="Z193" i="3" l="1"/>
  <c r="AC193" i="3"/>
  <c r="AA193" i="3"/>
  <c r="A194" i="3"/>
  <c r="B194" i="3" s="1"/>
  <c r="AD193" i="3"/>
  <c r="P193" i="3"/>
  <c r="Q193" i="3" s="1"/>
  <c r="R193" i="3" s="1"/>
  <c r="AG50" i="3"/>
  <c r="AH50" i="3"/>
  <c r="U49" i="3"/>
  <c r="E50" i="3" s="1"/>
  <c r="H50" i="3" s="1"/>
  <c r="Y48" i="3"/>
  <c r="S191" i="3"/>
  <c r="T190" i="3"/>
  <c r="D50" i="3" l="1"/>
  <c r="F50" i="3" s="1"/>
  <c r="Z194" i="3"/>
  <c r="AC194" i="3"/>
  <c r="AD194" i="3"/>
  <c r="A195" i="3"/>
  <c r="B195" i="3" s="1"/>
  <c r="AA194" i="3"/>
  <c r="P194" i="3"/>
  <c r="Q194" i="3" s="1"/>
  <c r="R194" i="3" s="1"/>
  <c r="S192" i="3"/>
  <c r="T191" i="3"/>
  <c r="K50" i="3"/>
  <c r="G50" i="3" l="1"/>
  <c r="I50" i="3" s="1"/>
  <c r="AA195" i="3"/>
  <c r="P195" i="3"/>
  <c r="Q195" i="3" s="1"/>
  <c r="R195" i="3" s="1"/>
  <c r="Z195" i="3"/>
  <c r="AD195" i="3"/>
  <c r="AC195" i="3"/>
  <c r="A196" i="3"/>
  <c r="B196" i="3" s="1"/>
  <c r="V50" i="3"/>
  <c r="AE50" i="3"/>
  <c r="S193" i="3"/>
  <c r="T192" i="3"/>
  <c r="J50" i="3" l="1"/>
  <c r="L50" i="3" s="1"/>
  <c r="M50" i="3"/>
  <c r="N50" i="3" s="1"/>
  <c r="W50" i="3"/>
  <c r="A197" i="3"/>
  <c r="B197" i="3" s="1"/>
  <c r="Z196" i="3"/>
  <c r="AA196" i="3"/>
  <c r="P196" i="3"/>
  <c r="Q196" i="3" s="1"/>
  <c r="R196" i="3" s="1"/>
  <c r="AC196" i="3"/>
  <c r="AD196" i="3"/>
  <c r="T193" i="3"/>
  <c r="S194" i="3"/>
  <c r="AG51" i="3" l="1"/>
  <c r="AH51" i="3"/>
  <c r="U50" i="3"/>
  <c r="D51" i="3" s="1"/>
  <c r="Y49" i="3"/>
  <c r="S195" i="3"/>
  <c r="T194" i="3"/>
  <c r="AC197" i="3"/>
  <c r="Z197" i="3"/>
  <c r="AD197" i="3"/>
  <c r="A198" i="3"/>
  <c r="B198" i="3" s="1"/>
  <c r="AA197" i="3"/>
  <c r="P197" i="3"/>
  <c r="Q197" i="3" s="1"/>
  <c r="R197" i="3" s="1"/>
  <c r="E51" i="3" l="1"/>
  <c r="H51" i="3" s="1"/>
  <c r="K51" i="3" s="1"/>
  <c r="G51" i="3"/>
  <c r="A199" i="3"/>
  <c r="B199" i="3" s="1"/>
  <c r="P198" i="3"/>
  <c r="Q198" i="3" s="1"/>
  <c r="R198" i="3" s="1"/>
  <c r="AD198" i="3"/>
  <c r="AA198" i="3"/>
  <c r="Z198" i="3"/>
  <c r="AC198" i="3"/>
  <c r="T195" i="3"/>
  <c r="S196" i="3"/>
  <c r="F51" i="3" l="1"/>
  <c r="Z199" i="3"/>
  <c r="AD199" i="3"/>
  <c r="P199" i="3"/>
  <c r="Q199" i="3" s="1"/>
  <c r="R199" i="3" s="1"/>
  <c r="AA199" i="3"/>
  <c r="AC199" i="3"/>
  <c r="A200" i="3"/>
  <c r="B200" i="3" s="1"/>
  <c r="S197" i="3"/>
  <c r="T196" i="3"/>
  <c r="V51" i="3"/>
  <c r="AE51" i="3"/>
  <c r="I51" i="3"/>
  <c r="J51" i="3"/>
  <c r="M51" i="3"/>
  <c r="N51" i="3" s="1"/>
  <c r="W51" i="3" l="1"/>
  <c r="AA200" i="3"/>
  <c r="A201" i="3"/>
  <c r="B201" i="3" s="1"/>
  <c r="AD200" i="3"/>
  <c r="Z200" i="3"/>
  <c r="AC200" i="3"/>
  <c r="P200" i="3"/>
  <c r="Q200" i="3" s="1"/>
  <c r="R200" i="3" s="1"/>
  <c r="L51" i="3"/>
  <c r="S198" i="3"/>
  <c r="T197" i="3"/>
  <c r="T198" i="3" l="1"/>
  <c r="S199" i="3"/>
  <c r="AA201" i="3"/>
  <c r="P201" i="3"/>
  <c r="Q201" i="3" s="1"/>
  <c r="R201" i="3" s="1"/>
  <c r="AD201" i="3"/>
  <c r="Z201" i="3"/>
  <c r="AC201" i="3"/>
  <c r="A202" i="3"/>
  <c r="B202" i="3" s="1"/>
  <c r="U51" i="3"/>
  <c r="D52" i="3" s="1"/>
  <c r="AH52" i="3"/>
  <c r="AG52" i="3"/>
  <c r="Y50" i="3"/>
  <c r="E52" i="3" l="1"/>
  <c r="H52" i="3" s="1"/>
  <c r="K52" i="3" s="1"/>
  <c r="G52" i="3"/>
  <c r="AC202" i="3"/>
  <c r="AA202" i="3"/>
  <c r="P202" i="3"/>
  <c r="Q202" i="3" s="1"/>
  <c r="R202" i="3" s="1"/>
  <c r="AD202" i="3"/>
  <c r="Z202" i="3"/>
  <c r="A203" i="3"/>
  <c r="B203" i="3" s="1"/>
  <c r="S200" i="3"/>
  <c r="T199" i="3"/>
  <c r="F52" i="3" l="1"/>
  <c r="S201" i="3"/>
  <c r="T200" i="3"/>
  <c r="V52" i="3"/>
  <c r="AE52" i="3"/>
  <c r="AC203" i="3"/>
  <c r="Z203" i="3"/>
  <c r="A204" i="3"/>
  <c r="B204" i="3" s="1"/>
  <c r="AA203" i="3"/>
  <c r="AD203" i="3"/>
  <c r="P203" i="3"/>
  <c r="Q203" i="3" s="1"/>
  <c r="R203" i="3" s="1"/>
  <c r="I52" i="3"/>
  <c r="J52" i="3"/>
  <c r="M52" i="3"/>
  <c r="N52" i="3" s="1"/>
  <c r="W52" i="3" l="1"/>
  <c r="AC204" i="3"/>
  <c r="P204" i="3"/>
  <c r="Q204" i="3" s="1"/>
  <c r="R204" i="3" s="1"/>
  <c r="AA204" i="3"/>
  <c r="Z204" i="3"/>
  <c r="L52" i="3"/>
  <c r="S202" i="3"/>
  <c r="T201" i="3"/>
  <c r="T202" i="3" l="1"/>
  <c r="S203" i="3"/>
  <c r="AG53" i="3"/>
  <c r="AH53" i="3"/>
  <c r="U52" i="3"/>
  <c r="D53" i="3" s="1"/>
  <c r="Y51" i="3"/>
  <c r="E53" i="3" l="1"/>
  <c r="H53" i="3" s="1"/>
  <c r="K53" i="3" s="1"/>
  <c r="G53" i="3"/>
  <c r="T203" i="3"/>
  <c r="S204" i="3"/>
  <c r="F53" i="3" l="1"/>
  <c r="T204" i="3"/>
  <c r="V53" i="3"/>
  <c r="AE53" i="3"/>
  <c r="I53" i="3"/>
  <c r="J53" i="3"/>
  <c r="M53" i="3"/>
  <c r="N53" i="3" s="1"/>
  <c r="W53" i="3" l="1"/>
  <c r="L53" i="3"/>
  <c r="AH54" i="3" l="1"/>
  <c r="U53" i="3"/>
  <c r="E54" i="3" s="1"/>
  <c r="H54" i="3" s="1"/>
  <c r="AG54" i="3"/>
  <c r="Y52" i="3"/>
  <c r="D54" i="3" l="1"/>
  <c r="F54" i="3" s="1"/>
  <c r="K54" i="3"/>
  <c r="G54" i="3" l="1"/>
  <c r="I54" i="3" s="1"/>
  <c r="V54" i="3"/>
  <c r="AE54" i="3"/>
  <c r="W54" i="3" l="1"/>
  <c r="M54" i="3"/>
  <c r="N54" i="3" s="1"/>
  <c r="J54" i="3"/>
  <c r="L54" i="3" s="1"/>
  <c r="U54" i="3" l="1"/>
  <c r="D55" i="3" s="1"/>
  <c r="AH55" i="3"/>
  <c r="AG55" i="3"/>
  <c r="Y53" i="3"/>
  <c r="E55" i="3" l="1"/>
  <c r="H55" i="3" s="1"/>
  <c r="K55" i="3" s="1"/>
  <c r="G55" i="3"/>
  <c r="F55" i="3" l="1"/>
  <c r="V55" i="3"/>
  <c r="AE55" i="3"/>
  <c r="I55" i="3"/>
  <c r="J55" i="3"/>
  <c r="M55" i="3"/>
  <c r="N55" i="3" s="1"/>
  <c r="W55" i="3" l="1"/>
  <c r="L55" i="3"/>
  <c r="AG56" i="3" l="1"/>
  <c r="AH56" i="3"/>
  <c r="U55" i="3"/>
  <c r="E56" i="3" s="1"/>
  <c r="H56" i="3" s="1"/>
  <c r="Y54" i="3"/>
  <c r="K56" i="3" l="1"/>
  <c r="D56" i="3"/>
  <c r="F56" i="3" l="1"/>
  <c r="G56" i="3"/>
  <c r="V56" i="3"/>
  <c r="AE56" i="3"/>
  <c r="I56" i="3" l="1"/>
  <c r="W56" i="3" s="1"/>
  <c r="J56" i="3"/>
  <c r="M56" i="3"/>
  <c r="N56" i="3" s="1"/>
  <c r="L56" i="3" l="1"/>
  <c r="U56" i="3" l="1"/>
  <c r="D57" i="3" s="1"/>
  <c r="AG57" i="3"/>
  <c r="AH57" i="3"/>
  <c r="Y55" i="3"/>
  <c r="E57" i="3" l="1"/>
  <c r="H57" i="3" s="1"/>
  <c r="K57" i="3" s="1"/>
  <c r="G57" i="3"/>
  <c r="F57" i="3" l="1"/>
  <c r="V57" i="3"/>
  <c r="AE57" i="3"/>
  <c r="I57" i="3"/>
  <c r="J57" i="3"/>
  <c r="M57" i="3"/>
  <c r="N57" i="3" s="1"/>
  <c r="W57" i="3" l="1"/>
  <c r="L57" i="3"/>
  <c r="AH58" i="3" l="1"/>
  <c r="U57" i="3"/>
  <c r="E58" i="3" s="1"/>
  <c r="H58" i="3" s="1"/>
  <c r="AG58" i="3"/>
  <c r="Y56" i="3"/>
  <c r="D58" i="3" l="1"/>
  <c r="F58" i="3" s="1"/>
  <c r="K58" i="3"/>
  <c r="G58" i="3" l="1"/>
  <c r="I58" i="3" s="1"/>
  <c r="V58" i="3"/>
  <c r="AE58" i="3"/>
  <c r="W58" i="3" l="1"/>
  <c r="M58" i="3"/>
  <c r="N58" i="3" s="1"/>
  <c r="J58" i="3"/>
  <c r="L58" i="3" s="1"/>
  <c r="AH59" i="3" l="1"/>
  <c r="AG59" i="3"/>
  <c r="U58" i="3"/>
  <c r="D59" i="3" s="1"/>
  <c r="Y57" i="3"/>
  <c r="G59" i="3" l="1"/>
  <c r="E59" i="3"/>
  <c r="H59" i="3" s="1"/>
  <c r="K59" i="3" l="1"/>
  <c r="I59" i="3"/>
  <c r="J59" i="3"/>
  <c r="M59" i="3"/>
  <c r="N59" i="3" s="1"/>
  <c r="F59" i="3"/>
  <c r="L59" i="3" l="1"/>
  <c r="V59" i="3"/>
  <c r="W59" i="3" s="1"/>
  <c r="AE59" i="3"/>
  <c r="AH60" i="3" l="1"/>
  <c r="U59" i="3"/>
  <c r="D60" i="3" s="1"/>
  <c r="AG60" i="3"/>
  <c r="Y58" i="3"/>
  <c r="E60" i="3" l="1"/>
  <c r="H60" i="3" s="1"/>
  <c r="K60" i="3" s="1"/>
  <c r="G60" i="3"/>
  <c r="F60" i="3" l="1"/>
  <c r="V60" i="3"/>
  <c r="AE60" i="3"/>
  <c r="I60" i="3"/>
  <c r="J60" i="3"/>
  <c r="M60" i="3"/>
  <c r="N60" i="3" s="1"/>
  <c r="W60" i="3" l="1"/>
  <c r="L60" i="3"/>
  <c r="U60" i="3" l="1"/>
  <c r="D61" i="3" s="1"/>
  <c r="AH61" i="3"/>
  <c r="AG61" i="3"/>
  <c r="Y59" i="3"/>
  <c r="E61" i="3" l="1"/>
  <c r="H61" i="3" s="1"/>
  <c r="K61" i="3" s="1"/>
  <c r="G61" i="3"/>
  <c r="F61" i="3" l="1"/>
  <c r="I61" i="3"/>
  <c r="J61" i="3"/>
  <c r="M61" i="3"/>
  <c r="N61" i="3" s="1"/>
  <c r="V61" i="3"/>
  <c r="AE61" i="3"/>
  <c r="W61" i="3" l="1"/>
  <c r="L61" i="3"/>
  <c r="AG62" i="3" l="1"/>
  <c r="U61" i="3"/>
  <c r="D62" i="3" s="1"/>
  <c r="AH62" i="3"/>
  <c r="Y60" i="3"/>
  <c r="E62" i="3" l="1"/>
  <c r="H62" i="3" s="1"/>
  <c r="K62" i="3" s="1"/>
  <c r="G62" i="3"/>
  <c r="F62" i="3" l="1"/>
  <c r="V62" i="3"/>
  <c r="AE62" i="3"/>
  <c r="I62" i="3"/>
  <c r="J62" i="3"/>
  <c r="M62" i="3"/>
  <c r="N62" i="3" s="1"/>
  <c r="W62" i="3" l="1"/>
  <c r="L62" i="3"/>
  <c r="AH63" i="3" l="1"/>
  <c r="U62" i="3"/>
  <c r="D63" i="3" s="1"/>
  <c r="AG63" i="3"/>
  <c r="Y61" i="3"/>
  <c r="E63" i="3" l="1"/>
  <c r="H63" i="3" s="1"/>
  <c r="K63" i="3" s="1"/>
  <c r="G63" i="3"/>
  <c r="F63" i="3" l="1"/>
  <c r="V63" i="3"/>
  <c r="AE63" i="3"/>
  <c r="I63" i="3"/>
  <c r="J63" i="3"/>
  <c r="M63" i="3"/>
  <c r="N63" i="3" s="1"/>
  <c r="L63" i="3" l="1"/>
  <c r="W63" i="3"/>
  <c r="AH64" i="3" l="1"/>
  <c r="AG64" i="3"/>
  <c r="U63" i="3"/>
  <c r="D64" i="3" s="1"/>
  <c r="Y62" i="3"/>
  <c r="G64" i="3" l="1"/>
  <c r="E64" i="3"/>
  <c r="H64" i="3" s="1"/>
  <c r="K64" i="3" l="1"/>
  <c r="I64" i="3"/>
  <c r="J64" i="3"/>
  <c r="M64" i="3"/>
  <c r="N64" i="3" s="1"/>
  <c r="F64" i="3"/>
  <c r="L64" i="3" l="1"/>
  <c r="V64" i="3"/>
  <c r="W64" i="3" s="1"/>
  <c r="AE64" i="3"/>
  <c r="AG65" i="3" l="1"/>
  <c r="U64" i="3"/>
  <c r="E65" i="3" s="1"/>
  <c r="H65" i="3" s="1"/>
  <c r="AH65" i="3"/>
  <c r="Y63" i="3"/>
  <c r="D65" i="3" l="1"/>
  <c r="G65" i="3" s="1"/>
  <c r="K65" i="3"/>
  <c r="F65" i="3" l="1"/>
  <c r="I65" i="3"/>
  <c r="J65" i="3"/>
  <c r="M65" i="3"/>
  <c r="N65" i="3" s="1"/>
  <c r="V65" i="3"/>
  <c r="AE65" i="3"/>
  <c r="W65" i="3" l="1"/>
  <c r="L65" i="3"/>
  <c r="AH66" i="3" l="1"/>
  <c r="AG66" i="3"/>
  <c r="U65" i="3"/>
  <c r="E66" i="3" s="1"/>
  <c r="H66" i="3" s="1"/>
  <c r="Y64" i="3"/>
  <c r="K66" i="3" l="1"/>
  <c r="D66" i="3"/>
  <c r="F66" i="3" l="1"/>
  <c r="G66" i="3"/>
  <c r="V66" i="3"/>
  <c r="AE66" i="3"/>
  <c r="I66" i="3" l="1"/>
  <c r="W66" i="3" s="1"/>
  <c r="J66" i="3"/>
  <c r="M66" i="3"/>
  <c r="N66" i="3" s="1"/>
  <c r="L66" i="3" l="1"/>
  <c r="U66" i="3" l="1"/>
  <c r="E67" i="3" s="1"/>
  <c r="H67" i="3" s="1"/>
  <c r="AH67" i="3"/>
  <c r="AG67" i="3"/>
  <c r="Y65" i="3"/>
  <c r="D67" i="3" l="1"/>
  <c r="F67" i="3" s="1"/>
  <c r="K67" i="3"/>
  <c r="G67" i="3" l="1"/>
  <c r="I67" i="3" s="1"/>
  <c r="V67" i="3"/>
  <c r="AE67" i="3"/>
  <c r="M67" i="3" l="1"/>
  <c r="N67" i="3" s="1"/>
  <c r="J67" i="3"/>
  <c r="L67" i="3" s="1"/>
  <c r="W67" i="3"/>
  <c r="U67" i="3" l="1"/>
  <c r="D68" i="3" s="1"/>
  <c r="AG68" i="3"/>
  <c r="AH68" i="3"/>
  <c r="Y66" i="3"/>
  <c r="E68" i="3" l="1"/>
  <c r="H68" i="3" s="1"/>
  <c r="K68" i="3" s="1"/>
  <c r="G68" i="3"/>
  <c r="F68" i="3" l="1"/>
  <c r="I68" i="3"/>
  <c r="J68" i="3"/>
  <c r="M68" i="3"/>
  <c r="N68" i="3" s="1"/>
  <c r="V68" i="3"/>
  <c r="AE68" i="3"/>
  <c r="W68" i="3" l="1"/>
  <c r="L68" i="3"/>
  <c r="AG69" i="3" l="1"/>
  <c r="AH69" i="3"/>
  <c r="U68" i="3"/>
  <c r="E69" i="3" s="1"/>
  <c r="H69" i="3" s="1"/>
  <c r="Y67" i="3"/>
  <c r="D69" i="3" l="1"/>
  <c r="F69" i="3" s="1"/>
  <c r="K69" i="3"/>
  <c r="G69" i="3" l="1"/>
  <c r="I69" i="3" s="1"/>
  <c r="V69" i="3"/>
  <c r="AE69" i="3"/>
  <c r="M69" i="3" l="1"/>
  <c r="N69" i="3" s="1"/>
  <c r="W69" i="3"/>
  <c r="J69" i="3"/>
  <c r="L69" i="3" s="1"/>
  <c r="AH70" i="3" l="1"/>
  <c r="U69" i="3"/>
  <c r="D70" i="3" s="1"/>
  <c r="AG70" i="3"/>
  <c r="Y68" i="3"/>
  <c r="E70" i="3" l="1"/>
  <c r="H70" i="3" s="1"/>
  <c r="K70" i="3" s="1"/>
  <c r="G70" i="3"/>
  <c r="F70" i="3" l="1"/>
  <c r="V70" i="3"/>
  <c r="AE70" i="3"/>
  <c r="I70" i="3"/>
  <c r="J70" i="3"/>
  <c r="M70" i="3"/>
  <c r="N70" i="3" s="1"/>
  <c r="L70" i="3" l="1"/>
  <c r="W70" i="3"/>
  <c r="U70" i="3" l="1"/>
  <c r="E71" i="3" s="1"/>
  <c r="H71" i="3" s="1"/>
  <c r="AH71" i="3"/>
  <c r="AG71" i="3"/>
  <c r="Y69" i="3"/>
  <c r="D71" i="3" l="1"/>
  <c r="F71" i="3" s="1"/>
  <c r="K71" i="3"/>
  <c r="G71" i="3" l="1"/>
  <c r="I71" i="3" s="1"/>
  <c r="V71" i="3"/>
  <c r="AE71" i="3"/>
  <c r="J71" i="3" l="1"/>
  <c r="L71" i="3" s="1"/>
  <c r="M71" i="3"/>
  <c r="N71" i="3" s="1"/>
  <c r="W71" i="3"/>
  <c r="U71" i="3" l="1"/>
  <c r="D72" i="3" s="1"/>
  <c r="AH72" i="3"/>
  <c r="AG72" i="3"/>
  <c r="Y70" i="3"/>
  <c r="E72" i="3" l="1"/>
  <c r="H72" i="3" s="1"/>
  <c r="K72" i="3" s="1"/>
  <c r="G72" i="3"/>
  <c r="F72" i="3" l="1"/>
  <c r="V72" i="3"/>
  <c r="AE72" i="3"/>
  <c r="I72" i="3"/>
  <c r="J72" i="3"/>
  <c r="M72" i="3"/>
  <c r="N72" i="3" s="1"/>
  <c r="L72" i="3" l="1"/>
  <c r="W72" i="3"/>
  <c r="AG73" i="3" l="1"/>
  <c r="AH73" i="3"/>
  <c r="U72" i="3"/>
  <c r="D73" i="3" s="1"/>
  <c r="Y71" i="3"/>
  <c r="E73" i="3" l="1"/>
  <c r="H73" i="3" s="1"/>
  <c r="K73" i="3" s="1"/>
  <c r="G73" i="3"/>
  <c r="F73" i="3" l="1"/>
  <c r="V73" i="3"/>
  <c r="AE73" i="3"/>
  <c r="I73" i="3"/>
  <c r="J73" i="3"/>
  <c r="M73" i="3"/>
  <c r="N73" i="3" s="1"/>
  <c r="L73" i="3" l="1"/>
  <c r="W73" i="3"/>
  <c r="AH74" i="3" l="1"/>
  <c r="U73" i="3"/>
  <c r="D74" i="3" s="1"/>
  <c r="AG74" i="3"/>
  <c r="Y72" i="3"/>
  <c r="E74" i="3" l="1"/>
  <c r="H74" i="3" s="1"/>
  <c r="K74" i="3" s="1"/>
  <c r="G74" i="3"/>
  <c r="F74" i="3" l="1"/>
  <c r="V74" i="3"/>
  <c r="AE74" i="3"/>
  <c r="I74" i="3"/>
  <c r="J74" i="3"/>
  <c r="M74" i="3"/>
  <c r="N74" i="3" s="1"/>
  <c r="L74" i="3" l="1"/>
  <c r="W74" i="3"/>
  <c r="AG75" i="3" l="1"/>
  <c r="U74" i="3"/>
  <c r="E75" i="3" s="1"/>
  <c r="H75" i="3" s="1"/>
  <c r="AH75" i="3"/>
  <c r="Y73" i="3"/>
  <c r="D75" i="3" l="1"/>
  <c r="F75" i="3" s="1"/>
  <c r="K75" i="3"/>
  <c r="G75" i="3" l="1"/>
  <c r="M75" i="3" s="1"/>
  <c r="N75" i="3" s="1"/>
  <c r="V75" i="3"/>
  <c r="AE75" i="3"/>
  <c r="J75" i="3" l="1"/>
  <c r="L75" i="3" s="1"/>
  <c r="I75" i="3"/>
  <c r="W75" i="3" s="1"/>
  <c r="AG76" i="3" l="1"/>
  <c r="U75" i="3"/>
  <c r="D76" i="3" s="1"/>
  <c r="AH76" i="3"/>
  <c r="Y74" i="3"/>
  <c r="E76" i="3" l="1"/>
  <c r="H76" i="3" s="1"/>
  <c r="K76" i="3" s="1"/>
  <c r="G76" i="3"/>
  <c r="F76" i="3" l="1"/>
  <c r="V76" i="3"/>
  <c r="AE76" i="3"/>
  <c r="I76" i="3"/>
  <c r="J76" i="3"/>
  <c r="M76" i="3"/>
  <c r="N76" i="3" s="1"/>
  <c r="L76" i="3" l="1"/>
  <c r="W76" i="3"/>
  <c r="AG77" i="3" l="1"/>
  <c r="U76" i="3"/>
  <c r="D77" i="3" s="1"/>
  <c r="AH77" i="3"/>
  <c r="Y75" i="3"/>
  <c r="E77" i="3" l="1"/>
  <c r="H77" i="3" s="1"/>
  <c r="K77" i="3" s="1"/>
  <c r="G77" i="3"/>
  <c r="F77" i="3" l="1"/>
  <c r="V77" i="3"/>
  <c r="AE77" i="3"/>
  <c r="I77" i="3"/>
  <c r="J77" i="3"/>
  <c r="M77" i="3"/>
  <c r="N77" i="3" s="1"/>
  <c r="L77" i="3" l="1"/>
  <c r="W77" i="3"/>
  <c r="U77" i="3" l="1"/>
  <c r="E78" i="3" s="1"/>
  <c r="H78" i="3" s="1"/>
  <c r="AH78" i="3"/>
  <c r="AG78" i="3"/>
  <c r="Y76" i="3"/>
  <c r="D78" i="3" l="1"/>
  <c r="G78" i="3" s="1"/>
  <c r="K78" i="3"/>
  <c r="F78" i="3" l="1"/>
  <c r="I78" i="3"/>
  <c r="J78" i="3"/>
  <c r="M78" i="3"/>
  <c r="N78" i="3" s="1"/>
  <c r="V78" i="3"/>
  <c r="AE78" i="3"/>
  <c r="W78" i="3" l="1"/>
  <c r="L78" i="3"/>
  <c r="U78" i="3" l="1"/>
  <c r="E79" i="3" s="1"/>
  <c r="H79" i="3" s="1"/>
  <c r="AG79" i="3"/>
  <c r="AH79" i="3"/>
  <c r="Y77" i="3"/>
  <c r="D79" i="3" l="1"/>
  <c r="F79" i="3" s="1"/>
  <c r="K79" i="3"/>
  <c r="G79" i="3" l="1"/>
  <c r="I79" i="3" s="1"/>
  <c r="V79" i="3"/>
  <c r="AE79" i="3"/>
  <c r="M79" i="3" l="1"/>
  <c r="N79" i="3" s="1"/>
  <c r="J79" i="3"/>
  <c r="L79" i="3" s="1"/>
  <c r="W79" i="3"/>
  <c r="AH80" i="3" l="1"/>
  <c r="AG80" i="3"/>
  <c r="U79" i="3"/>
  <c r="E80" i="3" s="1"/>
  <c r="H80" i="3" s="1"/>
  <c r="Y78" i="3"/>
  <c r="D80" i="3" l="1"/>
  <c r="F80" i="3" s="1"/>
  <c r="K80" i="3"/>
  <c r="G80" i="3" l="1"/>
  <c r="J80" i="3" s="1"/>
  <c r="V80" i="3"/>
  <c r="AE80" i="3"/>
  <c r="I80" i="3" l="1"/>
  <c r="W80" i="3" s="1"/>
  <c r="M80" i="3"/>
  <c r="N80" i="3" s="1"/>
  <c r="L80" i="3"/>
  <c r="AG81" i="3" l="1"/>
  <c r="U80" i="3"/>
  <c r="E81" i="3" s="1"/>
  <c r="H81" i="3" s="1"/>
  <c r="AH81" i="3"/>
  <c r="Y79" i="3"/>
  <c r="D81" i="3" l="1"/>
  <c r="F81" i="3" s="1"/>
  <c r="K81" i="3"/>
  <c r="G81" i="3" l="1"/>
  <c r="I81" i="3" s="1"/>
  <c r="V81" i="3"/>
  <c r="AE81" i="3"/>
  <c r="M81" i="3" l="1"/>
  <c r="N81" i="3" s="1"/>
  <c r="J81" i="3"/>
  <c r="L81" i="3" s="1"/>
  <c r="W81" i="3"/>
  <c r="AG82" i="3" l="1"/>
  <c r="AH82" i="3"/>
  <c r="U81" i="3"/>
  <c r="E82" i="3" s="1"/>
  <c r="H82" i="3" s="1"/>
  <c r="Y80" i="3"/>
  <c r="D82" i="3" l="1"/>
  <c r="F82" i="3" s="1"/>
  <c r="K82" i="3"/>
  <c r="G82" i="3" l="1"/>
  <c r="M82" i="3" s="1"/>
  <c r="N82" i="3" s="1"/>
  <c r="V82" i="3"/>
  <c r="AE82" i="3"/>
  <c r="J82" i="3" l="1"/>
  <c r="L82" i="3" s="1"/>
  <c r="I82" i="3"/>
  <c r="W82" i="3" s="1"/>
  <c r="AG83" i="3" l="1"/>
  <c r="U82" i="3"/>
  <c r="D83" i="3" s="1"/>
  <c r="AH83" i="3"/>
  <c r="Y81" i="3"/>
  <c r="E83" i="3" l="1"/>
  <c r="H83" i="3" s="1"/>
  <c r="K83" i="3" s="1"/>
  <c r="G83" i="3"/>
  <c r="F83" i="3" l="1"/>
  <c r="V83" i="3"/>
  <c r="AE83" i="3"/>
  <c r="I83" i="3"/>
  <c r="J83" i="3"/>
  <c r="M83" i="3"/>
  <c r="N83" i="3" s="1"/>
  <c r="L83" i="3" l="1"/>
  <c r="W83" i="3"/>
  <c r="AG84" i="3" l="1"/>
  <c r="AH84" i="3"/>
  <c r="U83" i="3"/>
  <c r="E84" i="3" s="1"/>
  <c r="H84" i="3" s="1"/>
  <c r="Y82" i="3"/>
  <c r="K84" i="3" l="1"/>
  <c r="D84" i="3"/>
  <c r="V84" i="3" l="1"/>
  <c r="AE84" i="3"/>
  <c r="F84" i="3"/>
  <c r="G84" i="3"/>
  <c r="I84" i="3" l="1"/>
  <c r="W84" i="3" s="1"/>
  <c r="J84" i="3"/>
  <c r="M84" i="3"/>
  <c r="N84" i="3" s="1"/>
  <c r="L84" i="3" l="1"/>
  <c r="AH85" i="3" l="1"/>
  <c r="AG85" i="3"/>
  <c r="U84" i="3"/>
  <c r="E85" i="3" s="1"/>
  <c r="H85" i="3" s="1"/>
  <c r="Y83" i="3"/>
  <c r="D85" i="3" l="1"/>
  <c r="F85" i="3" s="1"/>
  <c r="K85" i="3"/>
  <c r="G85" i="3" l="1"/>
  <c r="I85" i="3" s="1"/>
  <c r="V85" i="3"/>
  <c r="AE85" i="3"/>
  <c r="W85" i="3" l="1"/>
  <c r="M85" i="3"/>
  <c r="N85" i="3" s="1"/>
  <c r="J85" i="3"/>
  <c r="L85" i="3" s="1"/>
  <c r="AG86" i="3" l="1"/>
  <c r="AH86" i="3"/>
  <c r="U85" i="3"/>
  <c r="D86" i="3" s="1"/>
  <c r="Y84" i="3"/>
  <c r="E86" i="3" l="1"/>
  <c r="H86" i="3" s="1"/>
  <c r="K86" i="3" s="1"/>
  <c r="G86" i="3"/>
  <c r="F86" i="3" l="1"/>
  <c r="V86" i="3"/>
  <c r="AE86" i="3"/>
  <c r="I86" i="3"/>
  <c r="J86" i="3"/>
  <c r="M86" i="3"/>
  <c r="N86" i="3" s="1"/>
  <c r="L86" i="3" l="1"/>
  <c r="W86" i="3"/>
  <c r="AH87" i="3" l="1"/>
  <c r="U86" i="3"/>
  <c r="D87" i="3" s="1"/>
  <c r="AG87" i="3"/>
  <c r="Y85" i="3"/>
  <c r="E87" i="3" l="1"/>
  <c r="H87" i="3" s="1"/>
  <c r="K87" i="3" s="1"/>
  <c r="G87" i="3"/>
  <c r="F87" i="3" l="1"/>
  <c r="V87" i="3"/>
  <c r="AE87" i="3"/>
  <c r="I87" i="3"/>
  <c r="J87" i="3"/>
  <c r="M87" i="3"/>
  <c r="N87" i="3" s="1"/>
  <c r="L87" i="3" l="1"/>
  <c r="W87" i="3"/>
  <c r="AG88" i="3" l="1"/>
  <c r="U87" i="3"/>
  <c r="E88" i="3" s="1"/>
  <c r="H88" i="3" s="1"/>
  <c r="AH88" i="3"/>
  <c r="Y86" i="3"/>
  <c r="D88" i="3" l="1"/>
  <c r="F88" i="3" s="1"/>
  <c r="K88" i="3"/>
  <c r="G88" i="3" l="1"/>
  <c r="I88" i="3" s="1"/>
  <c r="V88" i="3"/>
  <c r="AE88" i="3"/>
  <c r="M88" i="3" l="1"/>
  <c r="N88" i="3" s="1"/>
  <c r="J88" i="3"/>
  <c r="L88" i="3" s="1"/>
  <c r="W88" i="3"/>
  <c r="AG89" i="3" l="1"/>
  <c r="U88" i="3"/>
  <c r="D89" i="3" s="1"/>
  <c r="AH89" i="3"/>
  <c r="Y87" i="3"/>
  <c r="E89" i="3" l="1"/>
  <c r="H89" i="3" s="1"/>
  <c r="K89" i="3" s="1"/>
  <c r="G89" i="3"/>
  <c r="F89" i="3" l="1"/>
  <c r="V89" i="3"/>
  <c r="AE89" i="3"/>
  <c r="I89" i="3"/>
  <c r="J89" i="3"/>
  <c r="M89" i="3"/>
  <c r="N89" i="3" s="1"/>
  <c r="L89" i="3" l="1"/>
  <c r="W89" i="3"/>
  <c r="AH90" i="3" l="1"/>
  <c r="AG90" i="3"/>
  <c r="U89" i="3"/>
  <c r="D90" i="3" s="1"/>
  <c r="Y88" i="3"/>
  <c r="E90" i="3" l="1"/>
  <c r="H90" i="3" s="1"/>
  <c r="K90" i="3" s="1"/>
  <c r="G90" i="3"/>
  <c r="F90" i="3" l="1"/>
  <c r="V90" i="3"/>
  <c r="AE90" i="3"/>
  <c r="I90" i="3"/>
  <c r="J90" i="3"/>
  <c r="M90" i="3"/>
  <c r="N90" i="3" s="1"/>
  <c r="L90" i="3" l="1"/>
  <c r="W90" i="3"/>
  <c r="U90" i="3" l="1"/>
  <c r="D91" i="3" s="1"/>
  <c r="AG91" i="3"/>
  <c r="AH91" i="3"/>
  <c r="Y89" i="3"/>
  <c r="E91" i="3" l="1"/>
  <c r="H91" i="3" s="1"/>
  <c r="K91" i="3" s="1"/>
  <c r="G91" i="3"/>
  <c r="F91" i="3" l="1"/>
  <c r="I91" i="3"/>
  <c r="J91" i="3"/>
  <c r="M91" i="3"/>
  <c r="N91" i="3" s="1"/>
  <c r="V91" i="3"/>
  <c r="AE91" i="3"/>
  <c r="W91" i="3" l="1"/>
  <c r="L91" i="3"/>
  <c r="U91" i="3" l="1"/>
  <c r="E92" i="3" s="1"/>
  <c r="H92" i="3" s="1"/>
  <c r="AH92" i="3"/>
  <c r="AG92" i="3"/>
  <c r="Y90" i="3"/>
  <c r="D92" i="3" l="1"/>
  <c r="F92" i="3" s="1"/>
  <c r="K92" i="3"/>
  <c r="G92" i="3" l="1"/>
  <c r="I92" i="3" s="1"/>
  <c r="V92" i="3"/>
  <c r="AE92" i="3"/>
  <c r="M92" i="3" l="1"/>
  <c r="N92" i="3" s="1"/>
  <c r="J92" i="3"/>
  <c r="L92" i="3" s="1"/>
  <c r="W92" i="3"/>
  <c r="AG93" i="3" l="1"/>
  <c r="AH93" i="3"/>
  <c r="U92" i="3"/>
  <c r="E93" i="3" s="1"/>
  <c r="H93" i="3" s="1"/>
  <c r="Y91" i="3"/>
  <c r="D93" i="3" l="1"/>
  <c r="F93" i="3" s="1"/>
  <c r="K93" i="3"/>
  <c r="G93" i="3" l="1"/>
  <c r="I93" i="3" s="1"/>
  <c r="V93" i="3"/>
  <c r="AE93" i="3"/>
  <c r="M93" i="3" l="1"/>
  <c r="N93" i="3" s="1"/>
  <c r="J93" i="3"/>
  <c r="L93" i="3" s="1"/>
  <c r="W93" i="3"/>
  <c r="AH94" i="3" l="1"/>
  <c r="AG94" i="3"/>
  <c r="U93" i="3"/>
  <c r="D94" i="3" s="1"/>
  <c r="Y92" i="3"/>
  <c r="G94" i="3" l="1"/>
  <c r="E94" i="3"/>
  <c r="H94" i="3" s="1"/>
  <c r="K94" i="3" l="1"/>
  <c r="I94" i="3"/>
  <c r="J94" i="3"/>
  <c r="M94" i="3"/>
  <c r="N94" i="3" s="1"/>
  <c r="F94" i="3"/>
  <c r="V94" i="3" l="1"/>
  <c r="W94" i="3" s="1"/>
  <c r="AE94" i="3"/>
  <c r="L94" i="3"/>
  <c r="AH95" i="3" l="1"/>
  <c r="U94" i="3"/>
  <c r="E95" i="3" s="1"/>
  <c r="H95" i="3" s="1"/>
  <c r="AG95" i="3"/>
  <c r="Y93" i="3"/>
  <c r="D95" i="3" l="1"/>
  <c r="F95" i="3" s="1"/>
  <c r="K95" i="3"/>
  <c r="G95" i="3" l="1"/>
  <c r="I95" i="3" s="1"/>
  <c r="V95" i="3"/>
  <c r="AE95" i="3"/>
  <c r="M95" i="3" l="1"/>
  <c r="N95" i="3" s="1"/>
  <c r="J95" i="3"/>
  <c r="L95" i="3" s="1"/>
  <c r="W95" i="3"/>
  <c r="AH96" i="3" l="1"/>
  <c r="AG96" i="3"/>
  <c r="U95" i="3"/>
  <c r="E96" i="3" s="1"/>
  <c r="H96" i="3" s="1"/>
  <c r="Y94" i="3"/>
  <c r="K96" i="3" l="1"/>
  <c r="D96" i="3"/>
  <c r="F96" i="3" l="1"/>
  <c r="G96" i="3"/>
  <c r="V96" i="3"/>
  <c r="AE96" i="3"/>
  <c r="I96" i="3" l="1"/>
  <c r="W96" i="3" s="1"/>
  <c r="J96" i="3"/>
  <c r="M96" i="3"/>
  <c r="N96" i="3" s="1"/>
  <c r="L96" i="3" l="1"/>
  <c r="AH97" i="3" l="1"/>
  <c r="AG97" i="3"/>
  <c r="U96" i="3"/>
  <c r="E97" i="3" s="1"/>
  <c r="H97" i="3" s="1"/>
  <c r="Y95" i="3"/>
  <c r="K97" i="3" l="1"/>
  <c r="D97" i="3"/>
  <c r="F97" i="3" l="1"/>
  <c r="G97" i="3"/>
  <c r="V97" i="3"/>
  <c r="AE97" i="3"/>
  <c r="I97" i="3" l="1"/>
  <c r="W97" i="3" s="1"/>
  <c r="J97" i="3"/>
  <c r="M97" i="3"/>
  <c r="N97" i="3" s="1"/>
  <c r="L97" i="3" l="1"/>
  <c r="AH98" i="3" l="1"/>
  <c r="U97" i="3"/>
  <c r="D98" i="3" s="1"/>
  <c r="AG98" i="3"/>
  <c r="Y96" i="3"/>
  <c r="G98" i="3" l="1"/>
  <c r="E98" i="3"/>
  <c r="H98" i="3" s="1"/>
  <c r="K98" i="3" l="1"/>
  <c r="I98" i="3"/>
  <c r="J98" i="3"/>
  <c r="M98" i="3"/>
  <c r="N98" i="3" s="1"/>
  <c r="F98" i="3"/>
  <c r="L98" i="3" l="1"/>
  <c r="V98" i="3"/>
  <c r="W98" i="3" s="1"/>
  <c r="AE98" i="3"/>
  <c r="U98" i="3" l="1"/>
  <c r="E99" i="3" s="1"/>
  <c r="H99" i="3" s="1"/>
  <c r="AH99" i="3"/>
  <c r="AG99" i="3"/>
  <c r="Y97" i="3"/>
  <c r="D99" i="3" l="1"/>
  <c r="F99" i="3" s="1"/>
  <c r="K99" i="3"/>
  <c r="G99" i="3" l="1"/>
  <c r="I99" i="3" s="1"/>
  <c r="V99" i="3"/>
  <c r="AE99" i="3"/>
  <c r="M99" i="3" l="1"/>
  <c r="N99" i="3" s="1"/>
  <c r="W99" i="3"/>
  <c r="J99" i="3"/>
  <c r="L99" i="3" s="1"/>
  <c r="AH100" i="3" l="1"/>
  <c r="AG100" i="3"/>
  <c r="U99" i="3"/>
  <c r="E100" i="3" s="1"/>
  <c r="H100" i="3" s="1"/>
  <c r="Y98" i="3"/>
  <c r="K100" i="3" l="1"/>
  <c r="D100" i="3"/>
  <c r="F100" i="3" l="1"/>
  <c r="G100" i="3"/>
  <c r="V100" i="3"/>
  <c r="AE100" i="3"/>
  <c r="I100" i="3" l="1"/>
  <c r="W100" i="3" s="1"/>
  <c r="J100" i="3"/>
  <c r="M100" i="3"/>
  <c r="N100" i="3" s="1"/>
  <c r="L100" i="3" l="1"/>
  <c r="AG101" i="3" l="1"/>
  <c r="AH101" i="3"/>
  <c r="U100" i="3"/>
  <c r="D101" i="3" s="1"/>
  <c r="Y99" i="3"/>
  <c r="E101" i="3" l="1"/>
  <c r="H101" i="3" s="1"/>
  <c r="K101" i="3" s="1"/>
  <c r="G101" i="3"/>
  <c r="F101" i="3" l="1"/>
  <c r="V101" i="3"/>
  <c r="AE101" i="3"/>
  <c r="I101" i="3"/>
  <c r="J101" i="3"/>
  <c r="M101" i="3"/>
  <c r="N101" i="3" s="1"/>
  <c r="L101" i="3" l="1"/>
  <c r="W101" i="3"/>
  <c r="AH102" i="3" l="1"/>
  <c r="AG102" i="3"/>
  <c r="U101" i="3"/>
  <c r="E102" i="3" s="1"/>
  <c r="H102" i="3" s="1"/>
  <c r="Y100" i="3"/>
  <c r="D102" i="3" l="1"/>
  <c r="F102" i="3" s="1"/>
  <c r="K102" i="3"/>
  <c r="G102" i="3" l="1"/>
  <c r="I102" i="3" s="1"/>
  <c r="V102" i="3"/>
  <c r="AE102" i="3"/>
  <c r="J102" i="3" l="1"/>
  <c r="L102" i="3" s="1"/>
  <c r="M102" i="3"/>
  <c r="N102" i="3" s="1"/>
  <c r="W102" i="3"/>
  <c r="AG103" i="3" l="1"/>
  <c r="AH103" i="3"/>
  <c r="U102" i="3"/>
  <c r="D103" i="3" s="1"/>
  <c r="Y101" i="3"/>
  <c r="E103" i="3" l="1"/>
  <c r="H103" i="3" s="1"/>
  <c r="K103" i="3" s="1"/>
  <c r="G103" i="3"/>
  <c r="F103" i="3" l="1"/>
  <c r="I103" i="3"/>
  <c r="J103" i="3"/>
  <c r="M103" i="3"/>
  <c r="N103" i="3" s="1"/>
  <c r="V103" i="3"/>
  <c r="AE103" i="3"/>
  <c r="W103" i="3" l="1"/>
  <c r="L103" i="3"/>
  <c r="U103" i="3" l="1"/>
  <c r="D104" i="3" s="1"/>
  <c r="AG104" i="3"/>
  <c r="AH104" i="3"/>
  <c r="Y102" i="3"/>
  <c r="E104" i="3" l="1"/>
  <c r="H104" i="3" s="1"/>
  <c r="K104" i="3" s="1"/>
  <c r="G104" i="3"/>
  <c r="F104" i="3" l="1"/>
  <c r="I104" i="3"/>
  <c r="J104" i="3"/>
  <c r="M104" i="3"/>
  <c r="N104" i="3" s="1"/>
  <c r="V104" i="3"/>
  <c r="AE104" i="3"/>
  <c r="W104" i="3" l="1"/>
  <c r="L104" i="3"/>
  <c r="AD104" i="3"/>
  <c r="AG105" i="3" l="1"/>
  <c r="U104" i="3"/>
  <c r="E105" i="3" s="1"/>
  <c r="H105" i="3" s="1"/>
  <c r="AH105" i="3"/>
  <c r="Y103" i="3"/>
  <c r="D105" i="3" l="1"/>
  <c r="G105" i="3" s="1"/>
  <c r="K105" i="3"/>
  <c r="F105" i="3" l="1"/>
  <c r="I105" i="3"/>
  <c r="J105" i="3"/>
  <c r="M105" i="3"/>
  <c r="N105" i="3" s="1"/>
  <c r="V105" i="3"/>
  <c r="AE105" i="3"/>
  <c r="W105" i="3" l="1"/>
  <c r="L105" i="3"/>
  <c r="AH106" i="3" l="1"/>
  <c r="AG106" i="3"/>
  <c r="U105" i="3"/>
  <c r="D106" i="3" s="1"/>
  <c r="Y104" i="3"/>
  <c r="G106" i="3" l="1"/>
  <c r="E106" i="3"/>
  <c r="H106" i="3" s="1"/>
  <c r="I106" i="3" l="1"/>
  <c r="J106" i="3"/>
  <c r="M106" i="3"/>
  <c r="N106" i="3" s="1"/>
  <c r="K106" i="3"/>
  <c r="F106" i="3"/>
  <c r="V106" i="3" l="1"/>
  <c r="W106" i="3" s="1"/>
  <c r="AE106" i="3"/>
  <c r="L106" i="3"/>
  <c r="U106" i="3" l="1"/>
  <c r="E107" i="3" s="1"/>
  <c r="H107" i="3" s="1"/>
  <c r="AH107" i="3"/>
  <c r="AG107" i="3"/>
  <c r="Y105" i="3"/>
  <c r="K107" i="3" l="1"/>
  <c r="D107" i="3"/>
  <c r="F107" i="3" l="1"/>
  <c r="G107" i="3"/>
  <c r="V107" i="3"/>
  <c r="AE107" i="3"/>
  <c r="I107" i="3" l="1"/>
  <c r="W107" i="3" s="1"/>
  <c r="J107" i="3"/>
  <c r="M107" i="3"/>
  <c r="N107" i="3" s="1"/>
  <c r="L107" i="3" l="1"/>
  <c r="AG108" i="3" l="1"/>
  <c r="U107" i="3"/>
  <c r="D108" i="3" s="1"/>
  <c r="AH108" i="3"/>
  <c r="Y106" i="3"/>
  <c r="E108" i="3" l="1"/>
  <c r="H108" i="3" s="1"/>
  <c r="K108" i="3" s="1"/>
  <c r="G108" i="3"/>
  <c r="F108" i="3" l="1"/>
  <c r="I108" i="3"/>
  <c r="J108" i="3"/>
  <c r="M108" i="3"/>
  <c r="N108" i="3" s="1"/>
  <c r="V108" i="3"/>
  <c r="AE108" i="3"/>
  <c r="W108" i="3" l="1"/>
  <c r="L108" i="3"/>
  <c r="U108" i="3" l="1"/>
  <c r="D109" i="3" s="1"/>
  <c r="AH109" i="3"/>
  <c r="AG109" i="3"/>
  <c r="Y107" i="3"/>
  <c r="E109" i="3" l="1"/>
  <c r="H109" i="3" s="1"/>
  <c r="K109" i="3" s="1"/>
  <c r="G109" i="3"/>
  <c r="F109" i="3" l="1"/>
  <c r="I109" i="3"/>
  <c r="J109" i="3"/>
  <c r="M109" i="3"/>
  <c r="N109" i="3" s="1"/>
  <c r="V109" i="3"/>
  <c r="AE109" i="3"/>
  <c r="W109" i="3" l="1"/>
  <c r="L109" i="3"/>
  <c r="AH110" i="3" l="1"/>
  <c r="AG110" i="3"/>
  <c r="U109" i="3"/>
  <c r="E110" i="3" s="1"/>
  <c r="H110" i="3" s="1"/>
  <c r="Y108" i="3"/>
  <c r="D110" i="3" l="1"/>
  <c r="F110" i="3" s="1"/>
  <c r="K110" i="3"/>
  <c r="G110" i="3" l="1"/>
  <c r="I110" i="3" s="1"/>
  <c r="V110" i="3"/>
  <c r="AE110" i="3"/>
  <c r="M110" i="3" l="1"/>
  <c r="N110" i="3" s="1"/>
  <c r="J110" i="3"/>
  <c r="L110" i="3" s="1"/>
  <c r="W110" i="3"/>
  <c r="AG111" i="3" l="1"/>
  <c r="AH111" i="3"/>
  <c r="U110" i="3"/>
  <c r="E111" i="3" s="1"/>
  <c r="H111" i="3" s="1"/>
  <c r="Y109" i="3"/>
  <c r="D111" i="3" l="1"/>
  <c r="F111" i="3" s="1"/>
  <c r="K111" i="3"/>
  <c r="G111" i="3" l="1"/>
  <c r="I111" i="3" s="1"/>
  <c r="V111" i="3"/>
  <c r="AE111" i="3"/>
  <c r="W111" i="3" l="1"/>
  <c r="M111" i="3"/>
  <c r="N111" i="3" s="1"/>
  <c r="J111" i="3"/>
  <c r="L111" i="3" s="1"/>
  <c r="AG112" i="3" l="1"/>
  <c r="U111" i="3"/>
  <c r="E112" i="3" s="1"/>
  <c r="H112" i="3" s="1"/>
  <c r="AH112" i="3"/>
  <c r="Y110" i="3"/>
  <c r="D112" i="3" l="1"/>
  <c r="F112" i="3" s="1"/>
  <c r="K112" i="3"/>
  <c r="G112" i="3" l="1"/>
  <c r="I112" i="3" s="1"/>
  <c r="V112" i="3"/>
  <c r="AE112" i="3"/>
  <c r="J112" i="3" l="1"/>
  <c r="L112" i="3" s="1"/>
  <c r="M112" i="3"/>
  <c r="N112" i="3" s="1"/>
  <c r="W112" i="3"/>
  <c r="U112" i="3" l="1"/>
  <c r="D113" i="3" s="1"/>
  <c r="AH113" i="3"/>
  <c r="AG113" i="3"/>
  <c r="Y111" i="3"/>
  <c r="E113" i="3" l="1"/>
  <c r="H113" i="3" s="1"/>
  <c r="K113" i="3" s="1"/>
  <c r="G113" i="3"/>
  <c r="F113" i="3" l="1"/>
  <c r="I113" i="3"/>
  <c r="J113" i="3"/>
  <c r="M113" i="3"/>
  <c r="N113" i="3" s="1"/>
  <c r="V113" i="3"/>
  <c r="AE113" i="3"/>
  <c r="W113" i="3" l="1"/>
  <c r="L113" i="3"/>
  <c r="AH114" i="3" l="1"/>
  <c r="U113" i="3"/>
  <c r="E114" i="3" s="1"/>
  <c r="H114" i="3" s="1"/>
  <c r="AG114" i="3"/>
  <c r="Y112" i="3"/>
  <c r="D114" i="3" l="1"/>
  <c r="F114" i="3" s="1"/>
  <c r="K114" i="3"/>
  <c r="G114" i="3" l="1"/>
  <c r="I114" i="3" s="1"/>
  <c r="V114" i="3"/>
  <c r="AE114" i="3"/>
  <c r="M114" i="3" l="1"/>
  <c r="N114" i="3" s="1"/>
  <c r="J114" i="3"/>
  <c r="L114" i="3" s="1"/>
  <c r="W114" i="3"/>
  <c r="AG115" i="3" l="1"/>
  <c r="AH115" i="3"/>
  <c r="U114" i="3"/>
  <c r="E115" i="3" s="1"/>
  <c r="H115" i="3" s="1"/>
  <c r="Y113" i="3"/>
  <c r="K115" i="3" l="1"/>
  <c r="D115" i="3"/>
  <c r="V115" i="3" l="1"/>
  <c r="AE115" i="3"/>
  <c r="F115" i="3"/>
  <c r="G115" i="3"/>
  <c r="I115" i="3" l="1"/>
  <c r="W115" i="3" s="1"/>
  <c r="J115" i="3"/>
  <c r="M115" i="3"/>
  <c r="N115" i="3" s="1"/>
  <c r="L115" i="3" l="1"/>
  <c r="AG116" i="3" l="1"/>
  <c r="U115" i="3"/>
  <c r="E116" i="3" s="1"/>
  <c r="H116" i="3" s="1"/>
  <c r="AH116" i="3"/>
  <c r="Y114" i="3"/>
  <c r="D116" i="3" l="1"/>
  <c r="F116" i="3" s="1"/>
  <c r="K116" i="3"/>
  <c r="G116" i="3" l="1"/>
  <c r="I116" i="3" s="1"/>
  <c r="V116" i="3"/>
  <c r="AE116" i="3"/>
  <c r="M116" i="3" l="1"/>
  <c r="N116" i="3" s="1"/>
  <c r="J116" i="3"/>
  <c r="L116" i="3" s="1"/>
  <c r="W116" i="3"/>
  <c r="AH117" i="3" l="1"/>
  <c r="AG117" i="3"/>
  <c r="U116" i="3"/>
  <c r="D117" i="3" s="1"/>
  <c r="Y115" i="3"/>
  <c r="E117" i="3" l="1"/>
  <c r="H117" i="3" s="1"/>
  <c r="K117" i="3" s="1"/>
  <c r="G117" i="3"/>
  <c r="F117" i="3" l="1"/>
  <c r="V117" i="3"/>
  <c r="AE117" i="3"/>
  <c r="I117" i="3"/>
  <c r="J117" i="3"/>
  <c r="M117" i="3"/>
  <c r="N117" i="3" s="1"/>
  <c r="L117" i="3" l="1"/>
  <c r="W117" i="3"/>
  <c r="AH118" i="3" l="1"/>
  <c r="U117" i="3"/>
  <c r="D118" i="3" s="1"/>
  <c r="AG118" i="3"/>
  <c r="Y116" i="3"/>
  <c r="E118" i="3" l="1"/>
  <c r="H118" i="3" s="1"/>
  <c r="K118" i="3" s="1"/>
  <c r="G118" i="3"/>
  <c r="F118" i="3" l="1"/>
  <c r="V118" i="3"/>
  <c r="AE118" i="3"/>
  <c r="I118" i="3"/>
  <c r="J118" i="3"/>
  <c r="M118" i="3"/>
  <c r="N118" i="3" s="1"/>
  <c r="L118" i="3" l="1"/>
  <c r="W118" i="3"/>
  <c r="AG119" i="3" l="1"/>
  <c r="AH119" i="3"/>
  <c r="U118" i="3"/>
  <c r="D119" i="3" s="1"/>
  <c r="Y117" i="3"/>
  <c r="G119" i="3" l="1"/>
  <c r="E119" i="3"/>
  <c r="H119" i="3" s="1"/>
  <c r="K119" i="3" l="1"/>
  <c r="I119" i="3"/>
  <c r="J119" i="3"/>
  <c r="M119" i="3"/>
  <c r="N119" i="3" s="1"/>
  <c r="F119" i="3"/>
  <c r="L119" i="3" l="1"/>
  <c r="V119" i="3"/>
  <c r="W119" i="3" s="1"/>
  <c r="AE119" i="3"/>
  <c r="AG120" i="3" l="1"/>
  <c r="AH120" i="3"/>
  <c r="U119" i="3"/>
  <c r="D120" i="3" s="1"/>
  <c r="Y118" i="3"/>
  <c r="G120" i="3" l="1"/>
  <c r="E120" i="3"/>
  <c r="H120" i="3" s="1"/>
  <c r="I120" i="3" l="1"/>
  <c r="J120" i="3"/>
  <c r="M120" i="3"/>
  <c r="N120" i="3" s="1"/>
  <c r="K120" i="3"/>
  <c r="F120" i="3"/>
  <c r="V120" i="3" l="1"/>
  <c r="W120" i="3" s="1"/>
  <c r="AE120" i="3"/>
  <c r="L120" i="3"/>
  <c r="U120" i="3" l="1"/>
  <c r="E121" i="3" s="1"/>
  <c r="H121" i="3" s="1"/>
  <c r="AG121" i="3"/>
  <c r="AH121" i="3"/>
  <c r="Y119" i="3"/>
  <c r="D121" i="3" l="1"/>
  <c r="F121" i="3" s="1"/>
  <c r="K121" i="3"/>
  <c r="G121" i="3" l="1"/>
  <c r="I121" i="3" s="1"/>
  <c r="V121" i="3"/>
  <c r="AE121" i="3"/>
  <c r="M121" i="3" l="1"/>
  <c r="N121" i="3" s="1"/>
  <c r="J121" i="3"/>
  <c r="L121" i="3" s="1"/>
  <c r="W121" i="3"/>
  <c r="AH122" i="3" l="1"/>
  <c r="AG122" i="3"/>
  <c r="U121" i="3"/>
  <c r="D122" i="3" s="1"/>
  <c r="Y120" i="3"/>
  <c r="E122" i="3" l="1"/>
  <c r="H122" i="3" s="1"/>
  <c r="K122" i="3" s="1"/>
  <c r="G122" i="3"/>
  <c r="F122" i="3" l="1"/>
  <c r="I122" i="3"/>
  <c r="J122" i="3"/>
  <c r="M122" i="3"/>
  <c r="N122" i="3" s="1"/>
  <c r="V122" i="3"/>
  <c r="AE122" i="3"/>
  <c r="W122" i="3" l="1"/>
  <c r="L122" i="3"/>
  <c r="AH123" i="3" l="1"/>
  <c r="AG123" i="3"/>
  <c r="U122" i="3"/>
  <c r="D123" i="3" s="1"/>
  <c r="Y121" i="3"/>
  <c r="G123" i="3" l="1"/>
  <c r="E123" i="3"/>
  <c r="H123" i="3" s="1"/>
  <c r="K123" i="3" l="1"/>
  <c r="I123" i="3"/>
  <c r="J123" i="3"/>
  <c r="M123" i="3"/>
  <c r="N123" i="3" s="1"/>
  <c r="F123" i="3"/>
  <c r="L123" i="3" l="1"/>
  <c r="V123" i="3"/>
  <c r="W123" i="3" s="1"/>
  <c r="AE123" i="3"/>
  <c r="AH124" i="3" l="1"/>
  <c r="U123" i="3"/>
  <c r="E124" i="3" s="1"/>
  <c r="H124" i="3" s="1"/>
  <c r="AG124" i="3"/>
  <c r="Y122" i="3"/>
  <c r="D124" i="3" l="1"/>
  <c r="G124" i="3" s="1"/>
  <c r="K124" i="3"/>
  <c r="F124" i="3" l="1"/>
  <c r="I124" i="3"/>
  <c r="J124" i="3"/>
  <c r="M124" i="3"/>
  <c r="N124" i="3" s="1"/>
  <c r="V124" i="3"/>
  <c r="AE124" i="3"/>
  <c r="W124" i="3" l="1"/>
  <c r="L124" i="3"/>
  <c r="U124" i="3" l="1"/>
  <c r="E125" i="3" s="1"/>
  <c r="H125" i="3" s="1"/>
  <c r="AH125" i="3"/>
  <c r="AG125" i="3"/>
  <c r="Y123" i="3"/>
  <c r="D125" i="3" l="1"/>
  <c r="F125" i="3" s="1"/>
  <c r="K125" i="3"/>
  <c r="G125" i="3" l="1"/>
  <c r="I125" i="3" s="1"/>
  <c r="V125" i="3"/>
  <c r="AE125" i="3"/>
  <c r="J125" i="3" l="1"/>
  <c r="L125" i="3" s="1"/>
  <c r="M125" i="3"/>
  <c r="N125" i="3" s="1"/>
  <c r="W125" i="3"/>
  <c r="AH126" i="3" l="1"/>
  <c r="AG126" i="3"/>
  <c r="U125" i="3"/>
  <c r="E126" i="3" s="1"/>
  <c r="H126" i="3" s="1"/>
  <c r="Y124" i="3"/>
  <c r="K126" i="3" l="1"/>
  <c r="D126" i="3"/>
  <c r="V126" i="3" l="1"/>
  <c r="AE126" i="3"/>
  <c r="F126" i="3"/>
  <c r="G126" i="3"/>
  <c r="I126" i="3" l="1"/>
  <c r="W126" i="3" s="1"/>
  <c r="J126" i="3"/>
  <c r="M126" i="3"/>
  <c r="N126" i="3" s="1"/>
  <c r="L126" i="3" l="1"/>
  <c r="U126" i="3" l="1"/>
  <c r="E127" i="3" s="1"/>
  <c r="H127" i="3" s="1"/>
  <c r="AG127" i="3"/>
  <c r="AH127" i="3"/>
  <c r="Y125" i="3"/>
  <c r="D127" i="3" l="1"/>
  <c r="F127" i="3" s="1"/>
  <c r="K127" i="3"/>
  <c r="G127" i="3" l="1"/>
  <c r="J127" i="3" s="1"/>
  <c r="V127" i="3"/>
  <c r="AE127" i="3"/>
  <c r="M127" i="3" l="1"/>
  <c r="N127" i="3" s="1"/>
  <c r="I127" i="3"/>
  <c r="W127" i="3" s="1"/>
  <c r="L127" i="3"/>
  <c r="AG128" i="3" l="1"/>
  <c r="AH128" i="3"/>
  <c r="U127" i="3"/>
  <c r="D128" i="3" s="1"/>
  <c r="Y126" i="3"/>
  <c r="E128" i="3" l="1"/>
  <c r="H128" i="3" s="1"/>
  <c r="K128" i="3" s="1"/>
  <c r="G128" i="3"/>
  <c r="F128" i="3" l="1"/>
  <c r="I128" i="3"/>
  <c r="J128" i="3"/>
  <c r="M128" i="3"/>
  <c r="N128" i="3" s="1"/>
  <c r="V128" i="3"/>
  <c r="AE128" i="3"/>
  <c r="W128" i="3" l="1"/>
  <c r="L128" i="3"/>
  <c r="AH129" i="3" l="1"/>
  <c r="U128" i="3"/>
  <c r="D129" i="3" s="1"/>
  <c r="AG129" i="3"/>
  <c r="Y127" i="3"/>
  <c r="E129" i="3" l="1"/>
  <c r="H129" i="3" s="1"/>
  <c r="K129" i="3" s="1"/>
  <c r="G129" i="3"/>
  <c r="F129" i="3" l="1"/>
  <c r="V129" i="3"/>
  <c r="AE129" i="3"/>
  <c r="I129" i="3"/>
  <c r="J129" i="3"/>
  <c r="M129" i="3"/>
  <c r="N129" i="3" s="1"/>
  <c r="L129" i="3" l="1"/>
  <c r="W129" i="3"/>
  <c r="AH130" i="3" l="1"/>
  <c r="AG130" i="3"/>
  <c r="U129" i="3"/>
  <c r="D130" i="3" s="1"/>
  <c r="Y128" i="3"/>
  <c r="E130" i="3" l="1"/>
  <c r="H130" i="3" s="1"/>
  <c r="K130" i="3" s="1"/>
  <c r="G130" i="3"/>
  <c r="F130" i="3" l="1"/>
  <c r="V130" i="3"/>
  <c r="AE130" i="3"/>
  <c r="I130" i="3"/>
  <c r="J130" i="3"/>
  <c r="M130" i="3"/>
  <c r="N130" i="3" s="1"/>
  <c r="L130" i="3" l="1"/>
  <c r="W130" i="3"/>
  <c r="AG131" i="3" l="1"/>
  <c r="AH131" i="3"/>
  <c r="U130" i="3"/>
  <c r="E131" i="3" s="1"/>
  <c r="H131" i="3" s="1"/>
  <c r="Y129" i="3"/>
  <c r="K131" i="3" l="1"/>
  <c r="D131" i="3"/>
  <c r="V131" i="3" l="1"/>
  <c r="AE131" i="3"/>
  <c r="F131" i="3"/>
  <c r="G131" i="3"/>
  <c r="I131" i="3" l="1"/>
  <c r="W131" i="3" s="1"/>
  <c r="J131" i="3"/>
  <c r="M131" i="3"/>
  <c r="N131" i="3" s="1"/>
  <c r="L131" i="3" l="1"/>
  <c r="AG132" i="3" l="1"/>
  <c r="AH132" i="3"/>
  <c r="U131" i="3"/>
  <c r="E132" i="3" s="1"/>
  <c r="H132" i="3" s="1"/>
  <c r="Y130" i="3"/>
  <c r="D132" i="3" l="1"/>
  <c r="F132" i="3" s="1"/>
  <c r="K132" i="3"/>
  <c r="G132" i="3" l="1"/>
  <c r="I132" i="3" s="1"/>
  <c r="V132" i="3"/>
  <c r="AE132" i="3"/>
  <c r="M132" i="3" l="1"/>
  <c r="N132" i="3" s="1"/>
  <c r="J132" i="3"/>
  <c r="L132" i="3" s="1"/>
  <c r="W132" i="3"/>
  <c r="U132" i="3" l="1"/>
  <c r="E133" i="3" s="1"/>
  <c r="H133" i="3" s="1"/>
  <c r="AH133" i="3"/>
  <c r="AG133" i="3"/>
  <c r="Y131" i="3"/>
  <c r="D133" i="3" l="1"/>
  <c r="F133" i="3" s="1"/>
  <c r="K133" i="3"/>
  <c r="G133" i="3" l="1"/>
  <c r="I133" i="3" s="1"/>
  <c r="V133" i="3"/>
  <c r="AE133" i="3"/>
  <c r="M133" i="3" l="1"/>
  <c r="N133" i="3" s="1"/>
  <c r="J133" i="3"/>
  <c r="L133" i="3" s="1"/>
  <c r="W133" i="3"/>
  <c r="AH134" i="3" l="1"/>
  <c r="U133" i="3"/>
  <c r="E134" i="3" s="1"/>
  <c r="H134" i="3" s="1"/>
  <c r="AG134" i="3"/>
  <c r="Y132" i="3"/>
  <c r="D134" i="3" l="1"/>
  <c r="F134" i="3" s="1"/>
  <c r="K134" i="3"/>
  <c r="G134" i="3" l="1"/>
  <c r="I134" i="3" s="1"/>
  <c r="V134" i="3"/>
  <c r="AE134" i="3"/>
  <c r="M134" i="3" l="1"/>
  <c r="N134" i="3" s="1"/>
  <c r="J134" i="3"/>
  <c r="L134" i="3" s="1"/>
  <c r="W134" i="3"/>
  <c r="AH135" i="3" l="1"/>
  <c r="U134" i="3"/>
  <c r="E135" i="3" s="1"/>
  <c r="H135" i="3" s="1"/>
  <c r="AG135" i="3"/>
  <c r="Y133" i="3"/>
  <c r="D135" i="3" l="1"/>
  <c r="F135" i="3" s="1"/>
  <c r="K135" i="3"/>
  <c r="G135" i="3" l="1"/>
  <c r="I135" i="3" s="1"/>
  <c r="V135" i="3"/>
  <c r="AE135" i="3"/>
  <c r="M135" i="3" l="1"/>
  <c r="N135" i="3" s="1"/>
  <c r="J135" i="3"/>
  <c r="L135" i="3" s="1"/>
  <c r="W135" i="3"/>
  <c r="AG136" i="3" l="1"/>
  <c r="AH136" i="3"/>
  <c r="U135" i="3"/>
  <c r="D136" i="3" s="1"/>
  <c r="Y134" i="3"/>
  <c r="G136" i="3" l="1"/>
  <c r="E136" i="3"/>
  <c r="H136" i="3" s="1"/>
  <c r="K136" i="3" l="1"/>
  <c r="I136" i="3"/>
  <c r="J136" i="3"/>
  <c r="M136" i="3"/>
  <c r="N136" i="3" s="1"/>
  <c r="F136" i="3"/>
  <c r="L136" i="3" l="1"/>
  <c r="V136" i="3"/>
  <c r="W136" i="3" s="1"/>
  <c r="AE136" i="3"/>
  <c r="AG137" i="3" l="1"/>
  <c r="AH137" i="3"/>
  <c r="U136" i="3"/>
  <c r="D137" i="3" s="1"/>
  <c r="Y135" i="3"/>
  <c r="E137" i="3" l="1"/>
  <c r="H137" i="3" s="1"/>
  <c r="K137" i="3" s="1"/>
  <c r="G137" i="3"/>
  <c r="F137" i="3" l="1"/>
  <c r="V137" i="3"/>
  <c r="AE137" i="3"/>
  <c r="I137" i="3"/>
  <c r="J137" i="3"/>
  <c r="M137" i="3"/>
  <c r="N137" i="3" s="1"/>
  <c r="L137" i="3" l="1"/>
  <c r="W137" i="3"/>
  <c r="AG138" i="3" l="1"/>
  <c r="U137" i="3"/>
  <c r="E138" i="3" s="1"/>
  <c r="H138" i="3" s="1"/>
  <c r="AH138" i="3"/>
  <c r="Y136" i="3"/>
  <c r="D138" i="3" l="1"/>
  <c r="F138" i="3" s="1"/>
  <c r="K138" i="3"/>
  <c r="G138" i="3" l="1"/>
  <c r="I138" i="3" s="1"/>
  <c r="V138" i="3"/>
  <c r="AE138" i="3"/>
  <c r="M138" i="3" l="1"/>
  <c r="N138" i="3" s="1"/>
  <c r="J138" i="3"/>
  <c r="L138" i="3" s="1"/>
  <c r="W138" i="3"/>
  <c r="AG139" i="3" l="1"/>
  <c r="U138" i="3"/>
  <c r="E139" i="3" s="1"/>
  <c r="H139" i="3" s="1"/>
  <c r="AH139" i="3"/>
  <c r="Y137" i="3"/>
  <c r="D139" i="3" l="1"/>
  <c r="F139" i="3" s="1"/>
  <c r="K139" i="3"/>
  <c r="G139" i="3" l="1"/>
  <c r="I139" i="3" s="1"/>
  <c r="V139" i="3"/>
  <c r="AE139" i="3"/>
  <c r="M139" i="3" l="1"/>
  <c r="N139" i="3" s="1"/>
  <c r="J139" i="3"/>
  <c r="L139" i="3" s="1"/>
  <c r="W139" i="3"/>
  <c r="AH140" i="3" l="1"/>
  <c r="AG140" i="3"/>
  <c r="U139" i="3"/>
  <c r="D140" i="3" s="1"/>
  <c r="Y138" i="3"/>
  <c r="E140" i="3" l="1"/>
  <c r="H140" i="3" s="1"/>
  <c r="K140" i="3" s="1"/>
  <c r="G140" i="3"/>
  <c r="F140" i="3" l="1"/>
  <c r="V140" i="3"/>
  <c r="AE140" i="3"/>
  <c r="I140" i="3"/>
  <c r="J140" i="3"/>
  <c r="M140" i="3"/>
  <c r="N140" i="3" s="1"/>
  <c r="L140" i="3" l="1"/>
  <c r="W140" i="3"/>
  <c r="AH141" i="3" l="1"/>
  <c r="AG141" i="3"/>
  <c r="U140" i="3"/>
  <c r="D141" i="3" s="1"/>
  <c r="Y139" i="3"/>
  <c r="E141" i="3" l="1"/>
  <c r="H141" i="3" s="1"/>
  <c r="K141" i="3" s="1"/>
  <c r="G141" i="3"/>
  <c r="F141" i="3" l="1"/>
  <c r="I141" i="3"/>
  <c r="J141" i="3"/>
  <c r="M141" i="3"/>
  <c r="N141" i="3" s="1"/>
  <c r="V141" i="3"/>
  <c r="AE141" i="3"/>
  <c r="W141" i="3" l="1"/>
  <c r="L141" i="3"/>
  <c r="AH142" i="3" l="1"/>
  <c r="AG142" i="3"/>
  <c r="U141" i="3"/>
  <c r="D142" i="3" s="1"/>
  <c r="Y140" i="3"/>
  <c r="E142" i="3" l="1"/>
  <c r="H142" i="3" s="1"/>
  <c r="K142" i="3" s="1"/>
  <c r="G142" i="3"/>
  <c r="F142" i="3" l="1"/>
  <c r="I142" i="3"/>
  <c r="J142" i="3"/>
  <c r="M142" i="3"/>
  <c r="N142" i="3" s="1"/>
  <c r="V142" i="3"/>
  <c r="AE142" i="3"/>
  <c r="W142" i="3" l="1"/>
  <c r="L142" i="3"/>
  <c r="U142" i="3" l="1"/>
  <c r="E143" i="3" s="1"/>
  <c r="H143" i="3" s="1"/>
  <c r="AG143" i="3"/>
  <c r="AH143" i="3"/>
  <c r="Y141" i="3"/>
  <c r="D143" i="3" l="1"/>
  <c r="F143" i="3" s="1"/>
  <c r="K143" i="3"/>
  <c r="G143" i="3" l="1"/>
  <c r="I143" i="3" s="1"/>
  <c r="V143" i="3"/>
  <c r="AE143" i="3"/>
  <c r="M143" i="3" l="1"/>
  <c r="N143" i="3" s="1"/>
  <c r="J143" i="3"/>
  <c r="L143" i="3" s="1"/>
  <c r="W143" i="3"/>
  <c r="AH144" i="3" l="1"/>
  <c r="U143" i="3"/>
  <c r="E144" i="3" s="1"/>
  <c r="H144" i="3" s="1"/>
  <c r="AG144" i="3"/>
  <c r="Y142" i="3"/>
  <c r="D144" i="3" l="1"/>
  <c r="F144" i="3" s="1"/>
  <c r="K144" i="3"/>
  <c r="G144" i="3" l="1"/>
  <c r="I144" i="3" s="1"/>
  <c r="V144" i="3"/>
  <c r="AE144" i="3"/>
  <c r="M144" i="3" l="1"/>
  <c r="N144" i="3" s="1"/>
  <c r="J144" i="3"/>
  <c r="L144" i="3" s="1"/>
  <c r="W144" i="3"/>
  <c r="AG145" i="3" l="1"/>
  <c r="AH145" i="3"/>
  <c r="U144" i="3"/>
  <c r="D145" i="3" s="1"/>
  <c r="Y143" i="3"/>
  <c r="E145" i="3" l="1"/>
  <c r="H145" i="3" s="1"/>
  <c r="K145" i="3" s="1"/>
  <c r="G145" i="3"/>
  <c r="F145" i="3" l="1"/>
  <c r="V145" i="3"/>
  <c r="AE145" i="3"/>
  <c r="I145" i="3"/>
  <c r="J145" i="3"/>
  <c r="M145" i="3"/>
  <c r="N145" i="3" s="1"/>
  <c r="L145" i="3" l="1"/>
  <c r="W145" i="3"/>
  <c r="AH146" i="3" l="1"/>
  <c r="U145" i="3"/>
  <c r="E146" i="3" s="1"/>
  <c r="H146" i="3" s="1"/>
  <c r="AG146" i="3"/>
  <c r="Y144" i="3"/>
  <c r="D146" i="3" l="1"/>
  <c r="F146" i="3" s="1"/>
  <c r="K146" i="3"/>
  <c r="G146" i="3" l="1"/>
  <c r="I146" i="3" s="1"/>
  <c r="V146" i="3"/>
  <c r="AE146" i="3"/>
  <c r="M146" i="3" l="1"/>
  <c r="N146" i="3" s="1"/>
  <c r="J146" i="3"/>
  <c r="L146" i="3" s="1"/>
  <c r="W146" i="3"/>
  <c r="AG147" i="3" l="1"/>
  <c r="AH147" i="3"/>
  <c r="U146" i="3"/>
  <c r="E147" i="3" s="1"/>
  <c r="H147" i="3" s="1"/>
  <c r="Y145" i="3"/>
  <c r="K147" i="3" l="1"/>
  <c r="D147" i="3"/>
  <c r="F147" i="3" l="1"/>
  <c r="G147" i="3"/>
  <c r="V147" i="3"/>
  <c r="AE147" i="3"/>
  <c r="I147" i="3" l="1"/>
  <c r="W147" i="3" s="1"/>
  <c r="J147" i="3"/>
  <c r="M147" i="3"/>
  <c r="N147" i="3" s="1"/>
  <c r="L147" i="3" l="1"/>
  <c r="U147" i="3" l="1"/>
  <c r="E148" i="3" s="1"/>
  <c r="H148" i="3" s="1"/>
  <c r="AH148" i="3"/>
  <c r="AG148" i="3"/>
  <c r="Y146" i="3"/>
  <c r="D148" i="3" l="1"/>
  <c r="F148" i="3" s="1"/>
  <c r="K148" i="3"/>
  <c r="G148" i="3" l="1"/>
  <c r="M148" i="3" s="1"/>
  <c r="N148" i="3" s="1"/>
  <c r="V148" i="3"/>
  <c r="AE148" i="3"/>
  <c r="J148" i="3" l="1"/>
  <c r="L148" i="3" s="1"/>
  <c r="I148" i="3"/>
  <c r="W148" i="3" s="1"/>
  <c r="U148" i="3" l="1"/>
  <c r="D149" i="3" s="1"/>
  <c r="AH149" i="3"/>
  <c r="AG149" i="3"/>
  <c r="Y147" i="3"/>
  <c r="E149" i="3" l="1"/>
  <c r="H149" i="3" s="1"/>
  <c r="K149" i="3" s="1"/>
  <c r="G149" i="3"/>
  <c r="F149" i="3" l="1"/>
  <c r="I149" i="3"/>
  <c r="J149" i="3"/>
  <c r="M149" i="3"/>
  <c r="N149" i="3" s="1"/>
  <c r="V149" i="3"/>
  <c r="W149" i="3" s="1"/>
  <c r="AE149" i="3"/>
  <c r="L149" i="3" l="1"/>
  <c r="AG150" i="3" l="1"/>
  <c r="U149" i="3"/>
  <c r="E150" i="3" s="1"/>
  <c r="H150" i="3" s="1"/>
  <c r="AH150" i="3"/>
  <c r="Y148" i="3"/>
  <c r="D150" i="3" l="1"/>
  <c r="F150" i="3" s="1"/>
  <c r="K150" i="3"/>
  <c r="G150" i="3" l="1"/>
  <c r="M150" i="3" s="1"/>
  <c r="N150" i="3" s="1"/>
  <c r="V150" i="3"/>
  <c r="AE150" i="3"/>
  <c r="J150" i="3" l="1"/>
  <c r="L150" i="3" s="1"/>
  <c r="I150" i="3"/>
  <c r="W150" i="3" s="1"/>
  <c r="AG151" i="3" l="1"/>
  <c r="U150" i="3"/>
  <c r="E151" i="3" s="1"/>
  <c r="H151" i="3" s="1"/>
  <c r="AH151" i="3"/>
  <c r="Y149" i="3"/>
  <c r="D151" i="3" l="1"/>
  <c r="F151" i="3" s="1"/>
  <c r="K151" i="3"/>
  <c r="G151" i="3" l="1"/>
  <c r="I151" i="3" s="1"/>
  <c r="V151" i="3"/>
  <c r="AE151" i="3"/>
  <c r="M151" i="3" l="1"/>
  <c r="N151" i="3" s="1"/>
  <c r="J151" i="3"/>
  <c r="L151" i="3" s="1"/>
  <c r="W151" i="3"/>
  <c r="U151" i="3" l="1"/>
  <c r="D152" i="3" s="1"/>
  <c r="AG152" i="3"/>
  <c r="AH152" i="3"/>
  <c r="Y150" i="3"/>
  <c r="E152" i="3" l="1"/>
  <c r="H152" i="3" s="1"/>
  <c r="K152" i="3" s="1"/>
  <c r="G152" i="3"/>
  <c r="F152" i="3" l="1"/>
  <c r="V152" i="3"/>
  <c r="AE152" i="3"/>
  <c r="I152" i="3"/>
  <c r="J152" i="3"/>
  <c r="M152" i="3"/>
  <c r="N152" i="3" s="1"/>
  <c r="L152" i="3" l="1"/>
  <c r="W152" i="3"/>
  <c r="U152" i="3" l="1"/>
  <c r="D153" i="3" s="1"/>
  <c r="AG153" i="3"/>
  <c r="AH153" i="3"/>
  <c r="Y151" i="3"/>
  <c r="E153" i="3" l="1"/>
  <c r="H153" i="3" s="1"/>
  <c r="K153" i="3" s="1"/>
  <c r="G153" i="3"/>
  <c r="F153" i="3" l="1"/>
  <c r="I153" i="3"/>
  <c r="J153" i="3"/>
  <c r="M153" i="3"/>
  <c r="N153" i="3" s="1"/>
  <c r="V153" i="3"/>
  <c r="AE153" i="3"/>
  <c r="W153" i="3" l="1"/>
  <c r="L153" i="3"/>
  <c r="AH154" i="3" l="1"/>
  <c r="AG154" i="3"/>
  <c r="U153" i="3"/>
  <c r="E154" i="3" s="1"/>
  <c r="H154" i="3" s="1"/>
  <c r="Y152" i="3"/>
  <c r="D154" i="3" l="1"/>
  <c r="F154" i="3" s="1"/>
  <c r="K154" i="3"/>
  <c r="G154" i="3" l="1"/>
  <c r="I154" i="3" s="1"/>
  <c r="V154" i="3"/>
  <c r="AE154" i="3"/>
  <c r="M154" i="3" l="1"/>
  <c r="N154" i="3" s="1"/>
  <c r="J154" i="3"/>
  <c r="L154" i="3" s="1"/>
  <c r="W154" i="3"/>
  <c r="AH155" i="3" l="1"/>
  <c r="AG155" i="3"/>
  <c r="U154" i="3"/>
  <c r="D155" i="3" s="1"/>
  <c r="Y153" i="3"/>
  <c r="E155" i="3" l="1"/>
  <c r="H155" i="3" s="1"/>
  <c r="K155" i="3" s="1"/>
  <c r="G155" i="3"/>
  <c r="F155" i="3" l="1"/>
  <c r="V155" i="3"/>
  <c r="AE155" i="3"/>
  <c r="I155" i="3"/>
  <c r="J155" i="3"/>
  <c r="M155" i="3"/>
  <c r="N155" i="3" s="1"/>
  <c r="W155" i="3" l="1"/>
  <c r="L155" i="3"/>
  <c r="AH156" i="3" l="1"/>
  <c r="AG156" i="3"/>
  <c r="U155" i="3"/>
  <c r="E156" i="3" s="1"/>
  <c r="H156" i="3" s="1"/>
  <c r="Y154" i="3"/>
  <c r="D156" i="3" l="1"/>
  <c r="F156" i="3" s="1"/>
  <c r="K156" i="3"/>
  <c r="G156" i="3" l="1"/>
  <c r="I156" i="3" s="1"/>
  <c r="V156" i="3"/>
  <c r="AE156" i="3"/>
  <c r="M156" i="3" l="1"/>
  <c r="N156" i="3" s="1"/>
  <c r="J156" i="3"/>
  <c r="L156" i="3" s="1"/>
  <c r="W156" i="3"/>
  <c r="AG157" i="3" l="1"/>
  <c r="AH157" i="3"/>
  <c r="U156" i="3"/>
  <c r="E157" i="3" s="1"/>
  <c r="H157" i="3" s="1"/>
  <c r="Y155" i="3"/>
  <c r="D157" i="3" l="1"/>
  <c r="F157" i="3" s="1"/>
  <c r="K157" i="3"/>
  <c r="G157" i="3" l="1"/>
  <c r="I157" i="3" s="1"/>
  <c r="V157" i="3"/>
  <c r="AE157" i="3"/>
  <c r="M157" i="3" l="1"/>
  <c r="N157" i="3" s="1"/>
  <c r="J157" i="3"/>
  <c r="L157" i="3" s="1"/>
  <c r="W157" i="3"/>
  <c r="AG158" i="3" l="1"/>
  <c r="AH158" i="3"/>
  <c r="U157" i="3"/>
  <c r="D158" i="3" s="1"/>
  <c r="Y156" i="3"/>
  <c r="E158" i="3" l="1"/>
  <c r="H158" i="3" s="1"/>
  <c r="K158" i="3" s="1"/>
  <c r="G158" i="3"/>
  <c r="F158" i="3" l="1"/>
  <c r="V158" i="3"/>
  <c r="AE158" i="3"/>
  <c r="I158" i="3"/>
  <c r="J158" i="3"/>
  <c r="M158" i="3"/>
  <c r="N158" i="3" s="1"/>
  <c r="L158" i="3" l="1"/>
  <c r="W158" i="3"/>
  <c r="AH159" i="3" l="1"/>
  <c r="AG159" i="3"/>
  <c r="U158" i="3"/>
  <c r="D159" i="3" s="1"/>
  <c r="Y157" i="3"/>
  <c r="E159" i="3" l="1"/>
  <c r="H159" i="3" s="1"/>
  <c r="K159" i="3" s="1"/>
  <c r="G159" i="3"/>
  <c r="F159" i="3" l="1"/>
  <c r="V159" i="3"/>
  <c r="AE159" i="3"/>
  <c r="I159" i="3"/>
  <c r="J159" i="3"/>
  <c r="M159" i="3"/>
  <c r="N159" i="3" s="1"/>
  <c r="L159" i="3" l="1"/>
  <c r="W159" i="3"/>
  <c r="AG160" i="3" l="1"/>
  <c r="AH160" i="3"/>
  <c r="U159" i="3"/>
  <c r="E160" i="3" s="1"/>
  <c r="H160" i="3" s="1"/>
  <c r="Y158" i="3"/>
  <c r="D160" i="3" l="1"/>
  <c r="F160" i="3" s="1"/>
  <c r="K160" i="3"/>
  <c r="G160" i="3" l="1"/>
  <c r="I160" i="3" s="1"/>
  <c r="V160" i="3"/>
  <c r="AE160" i="3"/>
  <c r="W160" i="3" l="1"/>
  <c r="M160" i="3"/>
  <c r="N160" i="3" s="1"/>
  <c r="J160" i="3"/>
  <c r="L160" i="3" s="1"/>
  <c r="AG161" i="3" l="1"/>
  <c r="AH161" i="3"/>
  <c r="U160" i="3"/>
  <c r="E161" i="3" s="1"/>
  <c r="H161" i="3" s="1"/>
  <c r="Y159" i="3"/>
  <c r="D161" i="3" l="1"/>
  <c r="F161" i="3" s="1"/>
  <c r="K161" i="3"/>
  <c r="G161" i="3" l="1"/>
  <c r="J161" i="3" s="1"/>
  <c r="V161" i="3"/>
  <c r="AE161" i="3"/>
  <c r="I161" i="3" l="1"/>
  <c r="W161" i="3" s="1"/>
  <c r="M161" i="3"/>
  <c r="N161" i="3" s="1"/>
  <c r="L161" i="3"/>
  <c r="AG162" i="3" l="1"/>
  <c r="AH162" i="3"/>
  <c r="U161" i="3"/>
  <c r="E162" i="3" s="1"/>
  <c r="H162" i="3" s="1"/>
  <c r="Y160" i="3"/>
  <c r="D162" i="3" l="1"/>
  <c r="F162" i="3" s="1"/>
  <c r="K162" i="3"/>
  <c r="G162" i="3" l="1"/>
  <c r="I162" i="3" s="1"/>
  <c r="V162" i="3"/>
  <c r="AE162" i="3"/>
  <c r="M162" i="3" l="1"/>
  <c r="N162" i="3" s="1"/>
  <c r="J162" i="3"/>
  <c r="L162" i="3" s="1"/>
  <c r="W162" i="3"/>
  <c r="U162" i="3" l="1"/>
  <c r="E163" i="3" s="1"/>
  <c r="H163" i="3" s="1"/>
  <c r="AH163" i="3"/>
  <c r="AG163" i="3"/>
  <c r="Y161" i="3"/>
  <c r="D163" i="3" l="1"/>
  <c r="F163" i="3" s="1"/>
  <c r="K163" i="3"/>
  <c r="G163" i="3" l="1"/>
  <c r="I163" i="3" s="1"/>
  <c r="V163" i="3"/>
  <c r="AE163" i="3"/>
  <c r="M163" i="3" l="1"/>
  <c r="N163" i="3" s="1"/>
  <c r="J163" i="3"/>
  <c r="L163" i="3" s="1"/>
  <c r="W163" i="3"/>
  <c r="AH164" i="3" l="1"/>
  <c r="AG164" i="3"/>
  <c r="U163" i="3"/>
  <c r="D164" i="3" s="1"/>
  <c r="Y162" i="3"/>
  <c r="E164" i="3" l="1"/>
  <c r="H164" i="3" s="1"/>
  <c r="K164" i="3" s="1"/>
  <c r="G164" i="3"/>
  <c r="F164" i="3" l="1"/>
  <c r="V164" i="3"/>
  <c r="AE164" i="3"/>
  <c r="I164" i="3"/>
  <c r="J164" i="3"/>
  <c r="M164" i="3"/>
  <c r="N164" i="3" s="1"/>
  <c r="L164" i="3" l="1"/>
  <c r="W164" i="3"/>
  <c r="AH165" i="3" l="1"/>
  <c r="AG165" i="3"/>
  <c r="U164" i="3"/>
  <c r="D165" i="3" s="1"/>
  <c r="Y163" i="3"/>
  <c r="E165" i="3" l="1"/>
  <c r="H165" i="3" s="1"/>
  <c r="K165" i="3" s="1"/>
  <c r="G165" i="3"/>
  <c r="F165" i="3" l="1"/>
  <c r="V165" i="3"/>
  <c r="AE165" i="3"/>
  <c r="I165" i="3"/>
  <c r="J165" i="3"/>
  <c r="M165" i="3"/>
  <c r="N165" i="3" s="1"/>
  <c r="L165" i="3" l="1"/>
  <c r="W165" i="3"/>
  <c r="AG166" i="3" l="1"/>
  <c r="U165" i="3"/>
  <c r="E166" i="3" s="1"/>
  <c r="H166" i="3" s="1"/>
  <c r="AH166" i="3"/>
  <c r="Y164" i="3"/>
  <c r="D166" i="3" l="1"/>
  <c r="F166" i="3" s="1"/>
  <c r="K166" i="3"/>
  <c r="G166" i="3" l="1"/>
  <c r="I166" i="3" s="1"/>
  <c r="V166" i="3"/>
  <c r="AE166" i="3"/>
  <c r="M166" i="3" l="1"/>
  <c r="N166" i="3" s="1"/>
  <c r="J166" i="3"/>
  <c r="L166" i="3" s="1"/>
  <c r="W166" i="3"/>
  <c r="AH167" i="3" l="1"/>
  <c r="AG167" i="3"/>
  <c r="U166" i="3"/>
  <c r="E167" i="3" s="1"/>
  <c r="H167" i="3" s="1"/>
  <c r="Y165" i="3"/>
  <c r="D167" i="3" l="1"/>
  <c r="F167" i="3" s="1"/>
  <c r="K167" i="3"/>
  <c r="G167" i="3" l="1"/>
  <c r="I167" i="3" s="1"/>
  <c r="V167" i="3"/>
  <c r="AE167" i="3"/>
  <c r="M167" i="3" l="1"/>
  <c r="N167" i="3" s="1"/>
  <c r="W167" i="3"/>
  <c r="J167" i="3"/>
  <c r="L167" i="3" s="1"/>
  <c r="AH168" i="3" l="1"/>
  <c r="AG168" i="3"/>
  <c r="U167" i="3"/>
  <c r="E168" i="3" s="1"/>
  <c r="H168" i="3" s="1"/>
  <c r="Y166" i="3"/>
  <c r="K168" i="3" l="1"/>
  <c r="D168" i="3"/>
  <c r="F168" i="3" l="1"/>
  <c r="G168" i="3"/>
  <c r="V168" i="3"/>
  <c r="AE168" i="3"/>
  <c r="I168" i="3" l="1"/>
  <c r="W168" i="3" s="1"/>
  <c r="J168" i="3"/>
  <c r="M168" i="3"/>
  <c r="N168" i="3" s="1"/>
  <c r="L168" i="3" l="1"/>
  <c r="AG169" i="3" l="1"/>
  <c r="AH169" i="3"/>
  <c r="U168" i="3"/>
  <c r="E169" i="3" s="1"/>
  <c r="H169" i="3" s="1"/>
  <c r="Y167" i="3"/>
  <c r="D169" i="3" l="1"/>
  <c r="F169" i="3" s="1"/>
  <c r="K169" i="3"/>
  <c r="G169" i="3" l="1"/>
  <c r="I169" i="3" s="1"/>
  <c r="V169" i="3"/>
  <c r="AE169" i="3"/>
  <c r="M169" i="3" l="1"/>
  <c r="N169" i="3" s="1"/>
  <c r="J169" i="3"/>
  <c r="L169" i="3" s="1"/>
  <c r="W169" i="3"/>
  <c r="AG170" i="3" l="1"/>
  <c r="AH170" i="3"/>
  <c r="U169" i="3"/>
  <c r="E170" i="3" s="1"/>
  <c r="H170" i="3" s="1"/>
  <c r="Y168" i="3"/>
  <c r="K170" i="3" l="1"/>
  <c r="D170" i="3"/>
  <c r="F170" i="3" l="1"/>
  <c r="G170" i="3"/>
  <c r="V170" i="3"/>
  <c r="AE170" i="3"/>
  <c r="I170" i="3" l="1"/>
  <c r="W170" i="3" s="1"/>
  <c r="J170" i="3"/>
  <c r="M170" i="3"/>
  <c r="N170" i="3" s="1"/>
  <c r="L170" i="3" l="1"/>
  <c r="AG171" i="3" l="1"/>
  <c r="AH171" i="3"/>
  <c r="U170" i="3"/>
  <c r="D171" i="3" s="1"/>
  <c r="Y169" i="3"/>
  <c r="E171" i="3" l="1"/>
  <c r="H171" i="3" s="1"/>
  <c r="K171" i="3" s="1"/>
  <c r="G171" i="3"/>
  <c r="F171" i="3" l="1"/>
  <c r="V171" i="3"/>
  <c r="AE171" i="3"/>
  <c r="I171" i="3"/>
  <c r="J171" i="3"/>
  <c r="M171" i="3"/>
  <c r="N171" i="3" s="1"/>
  <c r="L171" i="3" l="1"/>
  <c r="W171" i="3"/>
  <c r="U171" i="3" l="1"/>
  <c r="D172" i="3" s="1"/>
  <c r="AG172" i="3"/>
  <c r="AH172" i="3"/>
  <c r="Y170" i="3"/>
  <c r="E172" i="3" l="1"/>
  <c r="H172" i="3" s="1"/>
  <c r="K172" i="3" s="1"/>
  <c r="G172" i="3"/>
  <c r="F172" i="3" l="1"/>
  <c r="V172" i="3"/>
  <c r="AE172" i="3"/>
  <c r="I172" i="3"/>
  <c r="J172" i="3"/>
  <c r="M172" i="3"/>
  <c r="N172" i="3" s="1"/>
  <c r="W172" i="3" l="1"/>
  <c r="L172" i="3"/>
  <c r="AG173" i="3" l="1"/>
  <c r="U172" i="3"/>
  <c r="D173" i="3" s="1"/>
  <c r="AH173" i="3"/>
  <c r="Y171" i="3"/>
  <c r="E173" i="3" l="1"/>
  <c r="H173" i="3" s="1"/>
  <c r="K173" i="3" s="1"/>
  <c r="G173" i="3"/>
  <c r="F173" i="3" l="1"/>
  <c r="V173" i="3"/>
  <c r="AE173" i="3"/>
  <c r="I173" i="3"/>
  <c r="J173" i="3"/>
  <c r="M173" i="3"/>
  <c r="N173" i="3" s="1"/>
  <c r="L173" i="3" l="1"/>
  <c r="W173" i="3"/>
  <c r="U173" i="3" l="1"/>
  <c r="D174" i="3" s="1"/>
  <c r="AG174" i="3"/>
  <c r="AH174" i="3"/>
  <c r="Y172" i="3"/>
  <c r="E174" i="3" l="1"/>
  <c r="H174" i="3" s="1"/>
  <c r="K174" i="3" s="1"/>
  <c r="G174" i="3"/>
  <c r="F174" i="3" l="1"/>
  <c r="V174" i="3"/>
  <c r="AE174" i="3"/>
  <c r="I174" i="3"/>
  <c r="J174" i="3"/>
  <c r="M174" i="3"/>
  <c r="N174" i="3" s="1"/>
  <c r="L174" i="3" l="1"/>
  <c r="W174" i="3"/>
  <c r="U174" i="3" l="1"/>
  <c r="D175" i="3" s="1"/>
  <c r="AG175" i="3"/>
  <c r="AH175" i="3"/>
  <c r="Y173" i="3"/>
  <c r="E175" i="3" l="1"/>
  <c r="H175" i="3" s="1"/>
  <c r="K175" i="3" s="1"/>
  <c r="G175" i="3"/>
  <c r="F175" i="3" l="1"/>
  <c r="I175" i="3"/>
  <c r="J175" i="3"/>
  <c r="M175" i="3"/>
  <c r="N175" i="3" s="1"/>
  <c r="V175" i="3"/>
  <c r="AE175" i="3"/>
  <c r="W175" i="3" l="1"/>
  <c r="L175" i="3"/>
  <c r="U175" i="3" l="1"/>
  <c r="D176" i="3" s="1"/>
  <c r="AG176" i="3"/>
  <c r="AH176" i="3"/>
  <c r="Y174" i="3"/>
  <c r="E176" i="3" l="1"/>
  <c r="H176" i="3" s="1"/>
  <c r="K176" i="3" s="1"/>
  <c r="G176" i="3"/>
  <c r="F176" i="3" l="1"/>
  <c r="V176" i="3"/>
  <c r="AE176" i="3"/>
  <c r="I176" i="3"/>
  <c r="J176" i="3"/>
  <c r="M176" i="3"/>
  <c r="N176" i="3" s="1"/>
  <c r="L176" i="3" l="1"/>
  <c r="W176" i="3"/>
  <c r="AH177" i="3" l="1"/>
  <c r="U176" i="3"/>
  <c r="E177" i="3" s="1"/>
  <c r="H177" i="3" s="1"/>
  <c r="AG177" i="3"/>
  <c r="Y175" i="3"/>
  <c r="D177" i="3" l="1"/>
  <c r="F177" i="3" s="1"/>
  <c r="K177" i="3"/>
  <c r="G177" i="3" l="1"/>
  <c r="I177" i="3" s="1"/>
  <c r="V177" i="3"/>
  <c r="AE177" i="3"/>
  <c r="J177" i="3" l="1"/>
  <c r="L177" i="3" s="1"/>
  <c r="M177" i="3"/>
  <c r="N177" i="3" s="1"/>
  <c r="W177" i="3"/>
  <c r="AH178" i="3" l="1"/>
  <c r="U177" i="3"/>
  <c r="E178" i="3" s="1"/>
  <c r="H178" i="3" s="1"/>
  <c r="AG178" i="3"/>
  <c r="Y176" i="3"/>
  <c r="D178" i="3" l="1"/>
  <c r="G178" i="3" s="1"/>
  <c r="K178" i="3"/>
  <c r="F178" i="3" l="1"/>
  <c r="I178" i="3"/>
  <c r="J178" i="3"/>
  <c r="M178" i="3"/>
  <c r="N178" i="3" s="1"/>
  <c r="V178" i="3"/>
  <c r="AE178" i="3"/>
  <c r="W178" i="3" l="1"/>
  <c r="L178" i="3"/>
  <c r="U178" i="3" l="1"/>
  <c r="D179" i="3" s="1"/>
  <c r="AG179" i="3"/>
  <c r="AH179" i="3"/>
  <c r="Y177" i="3"/>
  <c r="E179" i="3" l="1"/>
  <c r="H179" i="3" s="1"/>
  <c r="K179" i="3" s="1"/>
  <c r="G179" i="3"/>
  <c r="F179" i="3" l="1"/>
  <c r="I179" i="3"/>
  <c r="J179" i="3"/>
  <c r="M179" i="3"/>
  <c r="N179" i="3" s="1"/>
  <c r="V179" i="3"/>
  <c r="AE179" i="3"/>
  <c r="W179" i="3" l="1"/>
  <c r="L179" i="3"/>
  <c r="AG180" i="3" l="1"/>
  <c r="U179" i="3"/>
  <c r="D180" i="3" s="1"/>
  <c r="AH180" i="3"/>
  <c r="Y178" i="3"/>
  <c r="E180" i="3" l="1"/>
  <c r="H180" i="3" s="1"/>
  <c r="K180" i="3" s="1"/>
  <c r="G180" i="3"/>
  <c r="F180" i="3" l="1"/>
  <c r="V180" i="3"/>
  <c r="AE180" i="3"/>
  <c r="I180" i="3"/>
  <c r="J180" i="3"/>
  <c r="M180" i="3"/>
  <c r="N180" i="3" s="1"/>
  <c r="W180" i="3" l="1"/>
  <c r="L180" i="3"/>
  <c r="U180" i="3" l="1"/>
  <c r="E181" i="3" s="1"/>
  <c r="H181" i="3" s="1"/>
  <c r="AG181" i="3"/>
  <c r="AH181" i="3"/>
  <c r="Y179" i="3"/>
  <c r="D181" i="3" l="1"/>
  <c r="F181" i="3" s="1"/>
  <c r="K181" i="3"/>
  <c r="G181" i="3" l="1"/>
  <c r="I181" i="3" s="1"/>
  <c r="V181" i="3"/>
  <c r="AE181" i="3"/>
  <c r="M181" i="3" l="1"/>
  <c r="N181" i="3" s="1"/>
  <c r="J181" i="3"/>
  <c r="L181" i="3" s="1"/>
  <c r="W181" i="3"/>
  <c r="AH182" i="3" l="1"/>
  <c r="U181" i="3"/>
  <c r="E182" i="3" s="1"/>
  <c r="H182" i="3" s="1"/>
  <c r="AG182" i="3"/>
  <c r="Y180" i="3"/>
  <c r="D182" i="3" l="1"/>
  <c r="F182" i="3" s="1"/>
  <c r="K182" i="3"/>
  <c r="G182" i="3" l="1"/>
  <c r="I182" i="3" s="1"/>
  <c r="V182" i="3"/>
  <c r="AE182" i="3"/>
  <c r="M182" i="3" l="1"/>
  <c r="N182" i="3" s="1"/>
  <c r="J182" i="3"/>
  <c r="L182" i="3" s="1"/>
  <c r="W182" i="3"/>
  <c r="U182" i="3" l="1"/>
  <c r="D183" i="3" s="1"/>
  <c r="AH183" i="3"/>
  <c r="AG183" i="3"/>
  <c r="Y181" i="3"/>
  <c r="E183" i="3" l="1"/>
  <c r="H183" i="3" s="1"/>
  <c r="K183" i="3" s="1"/>
  <c r="G183" i="3"/>
  <c r="F183" i="3" l="1"/>
  <c r="I183" i="3"/>
  <c r="J183" i="3"/>
  <c r="M183" i="3"/>
  <c r="N183" i="3" s="1"/>
  <c r="V183" i="3"/>
  <c r="AE183" i="3"/>
  <c r="W183" i="3" l="1"/>
  <c r="L183" i="3"/>
  <c r="AG184" i="3" l="1"/>
  <c r="AH184" i="3"/>
  <c r="U183" i="3"/>
  <c r="D184" i="3" s="1"/>
  <c r="Y182" i="3"/>
  <c r="E184" i="3" l="1"/>
  <c r="H184" i="3" s="1"/>
  <c r="K184" i="3" s="1"/>
  <c r="G184" i="3"/>
  <c r="F184" i="3" l="1"/>
  <c r="V184" i="3"/>
  <c r="AE184" i="3"/>
  <c r="I184" i="3"/>
  <c r="J184" i="3"/>
  <c r="M184" i="3"/>
  <c r="N184" i="3" s="1"/>
  <c r="L184" i="3" l="1"/>
  <c r="W184" i="3"/>
  <c r="AG185" i="3" l="1"/>
  <c r="U184" i="3"/>
  <c r="E185" i="3" s="1"/>
  <c r="H185" i="3" s="1"/>
  <c r="AH185" i="3"/>
  <c r="Y183" i="3"/>
  <c r="D185" i="3" l="1"/>
  <c r="F185" i="3" s="1"/>
  <c r="K185" i="3"/>
  <c r="G185" i="3" l="1"/>
  <c r="I185" i="3" s="1"/>
  <c r="V185" i="3"/>
  <c r="AE185" i="3"/>
  <c r="J185" i="3" l="1"/>
  <c r="L185" i="3" s="1"/>
  <c r="M185" i="3"/>
  <c r="N185" i="3" s="1"/>
  <c r="W185" i="3"/>
  <c r="AH186" i="3" l="1"/>
  <c r="AG186" i="3"/>
  <c r="U185" i="3"/>
  <c r="E186" i="3" s="1"/>
  <c r="H186" i="3" s="1"/>
  <c r="Y184" i="3"/>
  <c r="D186" i="3" l="1"/>
  <c r="F186" i="3" s="1"/>
  <c r="K186" i="3"/>
  <c r="G186" i="3" l="1"/>
  <c r="I186" i="3" s="1"/>
  <c r="V186" i="3"/>
  <c r="AE186" i="3"/>
  <c r="W186" i="3" l="1"/>
  <c r="J186" i="3"/>
  <c r="L186" i="3" s="1"/>
  <c r="M186" i="3"/>
  <c r="N186" i="3" s="1"/>
  <c r="AG187" i="3" l="1"/>
  <c r="U186" i="3"/>
  <c r="D187" i="3" s="1"/>
  <c r="AH187" i="3"/>
  <c r="Y185" i="3"/>
  <c r="E187" i="3" l="1"/>
  <c r="H187" i="3" s="1"/>
  <c r="K187" i="3" s="1"/>
  <c r="G187" i="3"/>
  <c r="F187" i="3" l="1"/>
  <c r="I187" i="3"/>
  <c r="J187" i="3"/>
  <c r="M187" i="3"/>
  <c r="N187" i="3" s="1"/>
  <c r="V187" i="3"/>
  <c r="AE187" i="3"/>
  <c r="W187" i="3" l="1"/>
  <c r="L187" i="3"/>
  <c r="AH188" i="3" l="1"/>
  <c r="AG188" i="3"/>
  <c r="U187" i="3"/>
  <c r="D188" i="3" s="1"/>
  <c r="Y186" i="3"/>
  <c r="G188" i="3" l="1"/>
  <c r="E188" i="3"/>
  <c r="H188" i="3" s="1"/>
  <c r="K188" i="3" l="1"/>
  <c r="I188" i="3"/>
  <c r="J188" i="3"/>
  <c r="M188" i="3"/>
  <c r="N188" i="3" s="1"/>
  <c r="F188" i="3"/>
  <c r="L188" i="3" l="1"/>
  <c r="V188" i="3"/>
  <c r="W188" i="3" s="1"/>
  <c r="AE188" i="3"/>
  <c r="AH189" i="3" l="1"/>
  <c r="AG189" i="3"/>
  <c r="U188" i="3"/>
  <c r="E189" i="3" s="1"/>
  <c r="H189" i="3" s="1"/>
  <c r="Y187" i="3"/>
  <c r="D189" i="3" l="1"/>
  <c r="F189" i="3" s="1"/>
  <c r="K189" i="3"/>
  <c r="G189" i="3" l="1"/>
  <c r="I189" i="3" s="1"/>
  <c r="V189" i="3"/>
  <c r="AE189" i="3"/>
  <c r="M189" i="3" l="1"/>
  <c r="N189" i="3" s="1"/>
  <c r="J189" i="3"/>
  <c r="L189" i="3" s="1"/>
  <c r="W189" i="3"/>
  <c r="AG190" i="3" l="1"/>
  <c r="AH190" i="3"/>
  <c r="U189" i="3"/>
  <c r="D190" i="3" s="1"/>
  <c r="Y188" i="3"/>
  <c r="E190" i="3" l="1"/>
  <c r="H190" i="3" s="1"/>
  <c r="K190" i="3" s="1"/>
  <c r="G190" i="3"/>
  <c r="F190" i="3" l="1"/>
  <c r="V190" i="3"/>
  <c r="AE190" i="3"/>
  <c r="I190" i="3"/>
  <c r="J190" i="3"/>
  <c r="M190" i="3"/>
  <c r="N190" i="3" s="1"/>
  <c r="L190" i="3" l="1"/>
  <c r="W190" i="3"/>
  <c r="AG191" i="3" l="1"/>
  <c r="AH191" i="3"/>
  <c r="U190" i="3"/>
  <c r="E191" i="3" s="1"/>
  <c r="H191" i="3" s="1"/>
  <c r="Y189" i="3"/>
  <c r="D191" i="3" l="1"/>
  <c r="F191" i="3" s="1"/>
  <c r="K191" i="3"/>
  <c r="G191" i="3" l="1"/>
  <c r="I191" i="3" s="1"/>
  <c r="V191" i="3"/>
  <c r="AE191" i="3"/>
  <c r="W191" i="3" l="1"/>
  <c r="M191" i="3"/>
  <c r="N191" i="3" s="1"/>
  <c r="J191" i="3"/>
  <c r="L191" i="3" s="1"/>
  <c r="AH192" i="3" l="1"/>
  <c r="U191" i="3"/>
  <c r="D192" i="3" s="1"/>
  <c r="AG192" i="3"/>
  <c r="Y190" i="3"/>
  <c r="E192" i="3" l="1"/>
  <c r="H192" i="3" s="1"/>
  <c r="K192" i="3" s="1"/>
  <c r="G192" i="3"/>
  <c r="F192" i="3" l="1"/>
  <c r="V192" i="3"/>
  <c r="AE192" i="3"/>
  <c r="I192" i="3"/>
  <c r="J192" i="3"/>
  <c r="M192" i="3"/>
  <c r="N192" i="3" s="1"/>
  <c r="L192" i="3" l="1"/>
  <c r="W192" i="3"/>
  <c r="AH193" i="3" l="1"/>
  <c r="U192" i="3"/>
  <c r="E193" i="3" s="1"/>
  <c r="H193" i="3" s="1"/>
  <c r="AG193" i="3"/>
  <c r="Y191" i="3"/>
  <c r="D193" i="3" l="1"/>
  <c r="F193" i="3" s="1"/>
  <c r="K193" i="3"/>
  <c r="G193" i="3" l="1"/>
  <c r="J193" i="3" s="1"/>
  <c r="V193" i="3"/>
  <c r="AE193" i="3"/>
  <c r="I193" i="3" l="1"/>
  <c r="W193" i="3" s="1"/>
  <c r="M193" i="3"/>
  <c r="N193" i="3" s="1"/>
  <c r="L193" i="3"/>
  <c r="U193" i="3" l="1"/>
  <c r="E194" i="3" s="1"/>
  <c r="H194" i="3" s="1"/>
  <c r="AG194" i="3"/>
  <c r="AH194" i="3"/>
  <c r="Y192" i="3"/>
  <c r="D194" i="3" l="1"/>
  <c r="F194" i="3" s="1"/>
  <c r="K194" i="3"/>
  <c r="G194" i="3" l="1"/>
  <c r="I194" i="3" s="1"/>
  <c r="V194" i="3"/>
  <c r="AE194" i="3"/>
  <c r="J194" i="3" l="1"/>
  <c r="L194" i="3" s="1"/>
  <c r="M194" i="3"/>
  <c r="N194" i="3" s="1"/>
  <c r="W194" i="3"/>
  <c r="U194" i="3" l="1"/>
  <c r="E195" i="3" s="1"/>
  <c r="H195" i="3" s="1"/>
  <c r="AH195" i="3"/>
  <c r="AG195" i="3"/>
  <c r="Y193" i="3"/>
  <c r="D195" i="3" l="1"/>
  <c r="F195" i="3" s="1"/>
  <c r="K195" i="3"/>
  <c r="G195" i="3" l="1"/>
  <c r="J195" i="3" s="1"/>
  <c r="V195" i="3"/>
  <c r="AE195" i="3"/>
  <c r="I195" i="3" l="1"/>
  <c r="W195" i="3" s="1"/>
  <c r="M195" i="3"/>
  <c r="N195" i="3" s="1"/>
  <c r="L195" i="3"/>
  <c r="AH196" i="3" l="1"/>
  <c r="U195" i="3"/>
  <c r="E196" i="3" s="1"/>
  <c r="H196" i="3" s="1"/>
  <c r="AG196" i="3"/>
  <c r="Y194" i="3"/>
  <c r="K196" i="3" l="1"/>
  <c r="D196" i="3"/>
  <c r="F196" i="3" l="1"/>
  <c r="G196" i="3"/>
  <c r="V196" i="3"/>
  <c r="AE196" i="3"/>
  <c r="I196" i="3" l="1"/>
  <c r="W196" i="3" s="1"/>
  <c r="J196" i="3"/>
  <c r="M196" i="3"/>
  <c r="N196" i="3" s="1"/>
  <c r="L196" i="3" l="1"/>
  <c r="AH197" i="3" l="1"/>
  <c r="U196" i="3"/>
  <c r="D197" i="3" s="1"/>
  <c r="AG197" i="3"/>
  <c r="Y195" i="3"/>
  <c r="E197" i="3" l="1"/>
  <c r="H197" i="3" s="1"/>
  <c r="K197" i="3" s="1"/>
  <c r="G197" i="3"/>
  <c r="F197" i="3" l="1"/>
  <c r="I197" i="3"/>
  <c r="J197" i="3"/>
  <c r="M197" i="3"/>
  <c r="N197" i="3" s="1"/>
  <c r="V197" i="3"/>
  <c r="AE197" i="3"/>
  <c r="W197" i="3" l="1"/>
  <c r="L197" i="3"/>
  <c r="U197" i="3" l="1"/>
  <c r="E198" i="3" s="1"/>
  <c r="H198" i="3" s="1"/>
  <c r="AG198" i="3"/>
  <c r="AH198" i="3"/>
  <c r="Y196" i="3"/>
  <c r="D198" i="3" l="1"/>
  <c r="F198" i="3" s="1"/>
  <c r="K198" i="3"/>
  <c r="G198" i="3" l="1"/>
  <c r="I198" i="3" s="1"/>
  <c r="V198" i="3"/>
  <c r="AE198" i="3"/>
  <c r="M198" i="3" l="1"/>
  <c r="N198" i="3" s="1"/>
  <c r="J198" i="3"/>
  <c r="L198" i="3" s="1"/>
  <c r="W198" i="3"/>
  <c r="AH199" i="3" l="1"/>
  <c r="AG199" i="3"/>
  <c r="U198" i="3"/>
  <c r="E199" i="3" s="1"/>
  <c r="H199" i="3" s="1"/>
  <c r="Y197" i="3"/>
  <c r="K199" i="3" l="1"/>
  <c r="D199" i="3"/>
  <c r="F199" i="3" l="1"/>
  <c r="G199" i="3"/>
  <c r="V199" i="3"/>
  <c r="AE199" i="3"/>
  <c r="I199" i="3" l="1"/>
  <c r="W199" i="3" s="1"/>
  <c r="J199" i="3"/>
  <c r="M199" i="3"/>
  <c r="N199" i="3" s="1"/>
  <c r="L199" i="3" l="1"/>
  <c r="AH200" i="3" l="1"/>
  <c r="AG200" i="3"/>
  <c r="U199" i="3"/>
  <c r="D200" i="3" s="1"/>
  <c r="Y198" i="3"/>
  <c r="E200" i="3" l="1"/>
  <c r="H200" i="3" s="1"/>
  <c r="K200" i="3" s="1"/>
  <c r="G200" i="3"/>
  <c r="F200" i="3" l="1"/>
  <c r="I200" i="3"/>
  <c r="J200" i="3"/>
  <c r="M200" i="3"/>
  <c r="N200" i="3" s="1"/>
  <c r="V200" i="3"/>
  <c r="AE200" i="3"/>
  <c r="W200" i="3" l="1"/>
  <c r="L200" i="3"/>
  <c r="AG201" i="3" l="1"/>
  <c r="AH201" i="3"/>
  <c r="U200" i="3"/>
  <c r="D201" i="3" s="1"/>
  <c r="Y199" i="3"/>
  <c r="E201" i="3" l="1"/>
  <c r="H201" i="3" s="1"/>
  <c r="K201" i="3" s="1"/>
  <c r="G201" i="3"/>
  <c r="F201" i="3" l="1"/>
  <c r="V201" i="3"/>
  <c r="AE201" i="3"/>
  <c r="I201" i="3"/>
  <c r="J201" i="3"/>
  <c r="M201" i="3"/>
  <c r="N201" i="3" s="1"/>
  <c r="L201" i="3" l="1"/>
  <c r="W201" i="3"/>
  <c r="AH202" i="3" l="1"/>
  <c r="AG202" i="3"/>
  <c r="U201" i="3"/>
  <c r="D202" i="3" s="1"/>
  <c r="Y200" i="3"/>
  <c r="E202" i="3" l="1"/>
  <c r="H202" i="3" s="1"/>
  <c r="K202" i="3" s="1"/>
  <c r="G202" i="3"/>
  <c r="F202" i="3" l="1"/>
  <c r="V202" i="3"/>
  <c r="AE202" i="3"/>
  <c r="I202" i="3"/>
  <c r="J202" i="3"/>
  <c r="M202" i="3"/>
  <c r="N202" i="3" s="1"/>
  <c r="L202" i="3" l="1"/>
  <c r="W202" i="3"/>
  <c r="AH203" i="3" l="1"/>
  <c r="AG203" i="3"/>
  <c r="U202" i="3"/>
  <c r="D203" i="3" s="1"/>
  <c r="Y201" i="3"/>
  <c r="E203" i="3" l="1"/>
  <c r="H203" i="3" s="1"/>
  <c r="K203" i="3" s="1"/>
  <c r="G203" i="3"/>
  <c r="F203" i="3" l="1"/>
  <c r="V203" i="3"/>
  <c r="AE203" i="3"/>
  <c r="I203" i="3"/>
  <c r="J203" i="3"/>
  <c r="M203" i="3"/>
  <c r="N203" i="3" s="1"/>
  <c r="L203" i="3" l="1"/>
  <c r="W203" i="3"/>
  <c r="U203" i="3" l="1"/>
  <c r="E204" i="3" s="1"/>
  <c r="H204" i="3" s="1"/>
  <c r="AH204" i="3"/>
  <c r="AG204" i="3"/>
  <c r="Y202" i="3"/>
  <c r="D204" i="3" l="1"/>
  <c r="F204" i="3" s="1"/>
  <c r="K204" i="3"/>
  <c r="G204" i="3" l="1"/>
  <c r="J204" i="3" s="1"/>
  <c r="V204" i="3"/>
  <c r="A205" i="3"/>
  <c r="B205" i="3" s="1"/>
  <c r="AE204" i="3"/>
  <c r="M204" i="3" l="1"/>
  <c r="N204" i="3" s="1"/>
  <c r="I204" i="3"/>
  <c r="W204" i="3" s="1"/>
  <c r="L204" i="3"/>
  <c r="AD204" i="3"/>
  <c r="Z205" i="3"/>
  <c r="AA205" i="3"/>
  <c r="AC205" i="3"/>
  <c r="P205" i="3"/>
  <c r="Q205" i="3" s="1"/>
  <c r="R205" i="3" s="1"/>
  <c r="S205" i="3" s="1"/>
  <c r="U204" i="3" l="1"/>
  <c r="Y203" i="3"/>
  <c r="T205" i="3"/>
  <c r="D205" i="3" l="1"/>
  <c r="G205" i="3" s="1"/>
  <c r="AH205" i="3"/>
  <c r="AG205" i="3"/>
  <c r="E205" i="3"/>
  <c r="H205" i="3" s="1"/>
  <c r="K205" i="3" s="1"/>
  <c r="F205" i="3" l="1"/>
  <c r="V205" i="3"/>
  <c r="AE205" i="3"/>
  <c r="A206" i="3"/>
  <c r="B206" i="3" s="1"/>
  <c r="I205" i="3"/>
  <c r="J205" i="3"/>
  <c r="AD205" i="3" s="1"/>
  <c r="M205" i="3"/>
  <c r="N205" i="3" s="1"/>
  <c r="AC206" i="3" l="1"/>
  <c r="P206" i="3"/>
  <c r="Q206" i="3" s="1"/>
  <c r="R206" i="3" s="1"/>
  <c r="S206" i="3" s="1"/>
  <c r="Z206" i="3"/>
  <c r="AA206" i="3"/>
  <c r="L205" i="3"/>
  <c r="W205" i="3"/>
  <c r="T206" i="3" l="1"/>
  <c r="AH206" i="3" s="1"/>
  <c r="U205" i="3"/>
  <c r="Y204" i="3"/>
  <c r="E206" i="3" l="1"/>
  <c r="H206" i="3" s="1"/>
  <c r="K206" i="3" s="1"/>
  <c r="D206" i="3"/>
  <c r="G206" i="3" s="1"/>
  <c r="AG206" i="3"/>
  <c r="F206" i="3" l="1"/>
  <c r="I206" i="3"/>
  <c r="J206" i="3"/>
  <c r="AD206" i="3" s="1"/>
  <c r="M206" i="3"/>
  <c r="N206" i="3" s="1"/>
  <c r="V206" i="3"/>
  <c r="AE206" i="3"/>
  <c r="A207" i="3"/>
  <c r="B207" i="3" s="1"/>
  <c r="W206" i="3" l="1"/>
  <c r="L206" i="3"/>
  <c r="P207" i="3"/>
  <c r="Q207" i="3" s="1"/>
  <c r="R207" i="3" s="1"/>
  <c r="S207" i="3" s="1"/>
  <c r="AA207" i="3"/>
  <c r="AC207" i="3"/>
  <c r="Z207" i="3"/>
  <c r="T207" i="3" l="1"/>
  <c r="AG207" i="3" s="1"/>
  <c r="U206" i="3"/>
  <c r="Y205" i="3"/>
  <c r="D207" i="3" l="1"/>
  <c r="G207" i="3" s="1"/>
  <c r="E207" i="3"/>
  <c r="H207" i="3" s="1"/>
  <c r="K207" i="3" s="1"/>
  <c r="AH207" i="3"/>
  <c r="F207" i="3" l="1"/>
  <c r="V207" i="3"/>
  <c r="AE207" i="3"/>
  <c r="A208" i="3"/>
  <c r="B208" i="3" s="1"/>
  <c r="I207" i="3"/>
  <c r="J207" i="3"/>
  <c r="AD207" i="3" s="1"/>
  <c r="M207" i="3"/>
  <c r="N207" i="3" s="1"/>
  <c r="P208" i="3" l="1"/>
  <c r="Q208" i="3" s="1"/>
  <c r="R208" i="3" s="1"/>
  <c r="S208" i="3" s="1"/>
  <c r="Z208" i="3"/>
  <c r="AC208" i="3"/>
  <c r="AA208" i="3"/>
  <c r="L207" i="3"/>
  <c r="W207" i="3"/>
  <c r="T208" i="3" l="1"/>
  <c r="AG208" i="3" s="1"/>
  <c r="U207" i="3"/>
  <c r="Y206" i="3"/>
  <c r="AH208" i="3" l="1"/>
  <c r="D208" i="3"/>
  <c r="G208" i="3" s="1"/>
  <c r="E208" i="3"/>
  <c r="H208" i="3" s="1"/>
  <c r="K208" i="3" s="1"/>
  <c r="F208" i="3" l="1"/>
  <c r="V208" i="3"/>
  <c r="AE208" i="3"/>
  <c r="A209" i="3"/>
  <c r="B209" i="3" s="1"/>
  <c r="I208" i="3"/>
  <c r="J208" i="3"/>
  <c r="AD208" i="3" s="1"/>
  <c r="M208" i="3"/>
  <c r="N208" i="3" s="1"/>
  <c r="AA209" i="3" l="1"/>
  <c r="Z209" i="3"/>
  <c r="AC209" i="3"/>
  <c r="P209" i="3"/>
  <c r="Q209" i="3" s="1"/>
  <c r="R209" i="3" s="1"/>
  <c r="S209" i="3" s="1"/>
  <c r="L208" i="3"/>
  <c r="W208" i="3"/>
  <c r="T209" i="3" l="1"/>
  <c r="AH209" i="3" s="1"/>
  <c r="U208" i="3"/>
  <c r="Y207" i="3"/>
  <c r="E209" i="3" l="1"/>
  <c r="H209" i="3" s="1"/>
  <c r="K209" i="3" s="1"/>
  <c r="D209" i="3"/>
  <c r="AG209" i="3"/>
  <c r="F209" i="3" l="1"/>
  <c r="G209" i="3"/>
  <c r="I209" i="3" s="1"/>
  <c r="V209" i="3"/>
  <c r="AE209" i="3"/>
  <c r="A210" i="3"/>
  <c r="B210" i="3" s="1"/>
  <c r="J209" i="3" l="1"/>
  <c r="AD209" i="3" s="1"/>
  <c r="M209" i="3"/>
  <c r="N209" i="3" s="1"/>
  <c r="W209" i="3"/>
  <c r="P210" i="3"/>
  <c r="Q210" i="3" s="1"/>
  <c r="R210" i="3" s="1"/>
  <c r="S210" i="3" s="1"/>
  <c r="AC210" i="3"/>
  <c r="Z210" i="3"/>
  <c r="AA210" i="3"/>
  <c r="L209" i="3" l="1"/>
  <c r="U209" i="3" s="1"/>
  <c r="T210" i="3"/>
  <c r="Y208" i="3" l="1"/>
  <c r="D210" i="3"/>
  <c r="G210" i="3" s="1"/>
  <c r="AH210" i="3"/>
  <c r="AG210" i="3"/>
  <c r="E210" i="3"/>
  <c r="H210" i="3" s="1"/>
  <c r="K210" i="3" s="1"/>
  <c r="F210" i="3" l="1"/>
  <c r="I210" i="3"/>
  <c r="J210" i="3"/>
  <c r="AD210" i="3" s="1"/>
  <c r="M210" i="3"/>
  <c r="N210" i="3" s="1"/>
  <c r="V210" i="3"/>
  <c r="AE210" i="3"/>
  <c r="A211" i="3"/>
  <c r="B211" i="3" s="1"/>
  <c r="W210" i="3" l="1"/>
  <c r="L210" i="3"/>
  <c r="Z211" i="3"/>
  <c r="AA211" i="3"/>
  <c r="P211" i="3"/>
  <c r="Q211" i="3" s="1"/>
  <c r="R211" i="3" s="1"/>
  <c r="S211" i="3" s="1"/>
  <c r="AC211" i="3"/>
  <c r="T211" i="3" l="1"/>
  <c r="AG211" i="3" s="1"/>
  <c r="U210" i="3"/>
  <c r="Y209" i="3"/>
  <c r="AH211" i="3" l="1"/>
  <c r="D211" i="3"/>
  <c r="G211" i="3" s="1"/>
  <c r="E211" i="3"/>
  <c r="H211" i="3" s="1"/>
  <c r="K211" i="3" l="1"/>
  <c r="I211" i="3"/>
  <c r="J211" i="3"/>
  <c r="AD211" i="3" s="1"/>
  <c r="M211" i="3"/>
  <c r="N211" i="3" s="1"/>
  <c r="F211" i="3"/>
  <c r="L211" i="3" l="1"/>
  <c r="V211" i="3"/>
  <c r="W211" i="3" s="1"/>
  <c r="AE211" i="3"/>
  <c r="A212" i="3"/>
  <c r="B212" i="3" s="1"/>
  <c r="AA212" i="3" l="1"/>
  <c r="Z212" i="3"/>
  <c r="P212" i="3"/>
  <c r="Q212" i="3" s="1"/>
  <c r="R212" i="3" s="1"/>
  <c r="S212" i="3" s="1"/>
  <c r="AC212" i="3"/>
  <c r="U211" i="3"/>
  <c r="Y210" i="3"/>
  <c r="T212" i="3" l="1"/>
  <c r="AH212" i="3" s="1"/>
  <c r="E212" i="3" l="1"/>
  <c r="H212" i="3" s="1"/>
  <c r="K212" i="3" s="1"/>
  <c r="AG212" i="3"/>
  <c r="D212" i="3"/>
  <c r="F212" i="3" l="1"/>
  <c r="G212" i="3"/>
  <c r="V212" i="3"/>
  <c r="A213" i="3"/>
  <c r="B213" i="3" s="1"/>
  <c r="AE212" i="3"/>
  <c r="AA213" i="3" l="1"/>
  <c r="P213" i="3"/>
  <c r="Q213" i="3" s="1"/>
  <c r="R213" i="3" s="1"/>
  <c r="S213" i="3" s="1"/>
  <c r="Z213" i="3"/>
  <c r="AC213" i="3"/>
  <c r="I212" i="3"/>
  <c r="W212" i="3" s="1"/>
  <c r="J212" i="3"/>
  <c r="AD212" i="3" s="1"/>
  <c r="M212" i="3"/>
  <c r="N212" i="3" s="1"/>
  <c r="L212" i="3" l="1"/>
  <c r="T213" i="3"/>
  <c r="AG213" i="3" l="1"/>
  <c r="AH213" i="3"/>
  <c r="U212" i="3"/>
  <c r="E213" i="3" s="1"/>
  <c r="H213" i="3" s="1"/>
  <c r="Y211" i="3"/>
  <c r="K213" i="3" l="1"/>
  <c r="D213" i="3"/>
  <c r="F213" i="3" l="1"/>
  <c r="G213" i="3"/>
  <c r="V213" i="3"/>
  <c r="A214" i="3"/>
  <c r="B214" i="3" s="1"/>
  <c r="AE213" i="3"/>
  <c r="I213" i="3" l="1"/>
  <c r="W213" i="3" s="1"/>
  <c r="J213" i="3"/>
  <c r="AD213" i="3" s="1"/>
  <c r="M213" i="3"/>
  <c r="N213" i="3" s="1"/>
  <c r="P214" i="3"/>
  <c r="Q214" i="3" s="1"/>
  <c r="R214" i="3" s="1"/>
  <c r="S214" i="3" s="1"/>
  <c r="AA214" i="3"/>
  <c r="Z214" i="3"/>
  <c r="AC214" i="3"/>
  <c r="T214" i="3" l="1"/>
  <c r="L213" i="3"/>
  <c r="AG214" i="3" l="1"/>
  <c r="AH214" i="3"/>
  <c r="U213" i="3"/>
  <c r="E214" i="3" s="1"/>
  <c r="H214" i="3" s="1"/>
  <c r="Y212" i="3"/>
  <c r="D214" i="3" l="1"/>
  <c r="F214" i="3" s="1"/>
  <c r="K214" i="3"/>
  <c r="G214" i="3" l="1"/>
  <c r="J214" i="3" s="1"/>
  <c r="V214" i="3"/>
  <c r="AE214" i="3"/>
  <c r="A215" i="3"/>
  <c r="B215" i="3" s="1"/>
  <c r="M214" i="3" l="1"/>
  <c r="N214" i="3" s="1"/>
  <c r="I214" i="3"/>
  <c r="W214" i="3" s="1"/>
  <c r="L214" i="3"/>
  <c r="AD214" i="3"/>
  <c r="P215" i="3"/>
  <c r="Q215" i="3" s="1"/>
  <c r="R215" i="3" s="1"/>
  <c r="S215" i="3" s="1"/>
  <c r="AD215" i="3"/>
  <c r="AC215" i="3"/>
  <c r="AA215" i="3"/>
  <c r="Z215" i="3"/>
  <c r="T215" i="3" l="1"/>
  <c r="AG215" i="3" s="1"/>
  <c r="U214" i="3"/>
  <c r="Y213" i="3"/>
  <c r="AH215" i="3" l="1"/>
  <c r="E215" i="3"/>
  <c r="H215" i="3" s="1"/>
  <c r="K215" i="3" s="1"/>
  <c r="D215" i="3"/>
  <c r="F215" i="3" l="1"/>
  <c r="G215" i="3"/>
  <c r="I215" i="3" s="1"/>
  <c r="V215" i="3"/>
  <c r="AE215" i="3"/>
  <c r="A216" i="3"/>
  <c r="B216" i="3" s="1"/>
  <c r="M215" i="3" l="1"/>
  <c r="N215" i="3" s="1"/>
  <c r="J215" i="3"/>
  <c r="L215" i="3" s="1"/>
  <c r="W215" i="3"/>
  <c r="Z216" i="3"/>
  <c r="P216" i="3"/>
  <c r="Q216" i="3" s="1"/>
  <c r="R216" i="3" s="1"/>
  <c r="S216" i="3" s="1"/>
  <c r="AC216" i="3"/>
  <c r="AD216" i="3"/>
  <c r="AA216" i="3"/>
  <c r="T216" i="3" l="1"/>
  <c r="AG216" i="3" s="1"/>
  <c r="U215" i="3"/>
  <c r="Y214" i="3"/>
  <c r="E216" i="3" l="1"/>
  <c r="H216" i="3" s="1"/>
  <c r="K216" i="3" s="1"/>
  <c r="D216" i="3"/>
  <c r="AH216" i="3"/>
  <c r="F216" i="3" l="1"/>
  <c r="G216" i="3"/>
  <c r="I216" i="3" s="1"/>
  <c r="V216" i="3"/>
  <c r="AE216" i="3"/>
  <c r="A217" i="3"/>
  <c r="B217" i="3" s="1"/>
  <c r="M216" i="3" l="1"/>
  <c r="N216" i="3" s="1"/>
  <c r="W216" i="3"/>
  <c r="J216" i="3"/>
  <c r="L216" i="3" s="1"/>
  <c r="AA217" i="3"/>
  <c r="Z217" i="3"/>
  <c r="AD217" i="3"/>
  <c r="P217" i="3"/>
  <c r="Q217" i="3" s="1"/>
  <c r="R217" i="3" s="1"/>
  <c r="S217" i="3" s="1"/>
  <c r="AC217" i="3"/>
  <c r="T217" i="3" l="1"/>
  <c r="AH217" i="3" s="1"/>
  <c r="U216" i="3"/>
  <c r="Y215" i="3"/>
  <c r="E217" i="3" l="1"/>
  <c r="H217" i="3" s="1"/>
  <c r="K217" i="3" s="1"/>
  <c r="AG217" i="3"/>
  <c r="D217" i="3"/>
  <c r="G217" i="3" s="1"/>
  <c r="F217" i="3" l="1"/>
  <c r="I217" i="3"/>
  <c r="J217" i="3"/>
  <c r="M217" i="3"/>
  <c r="N217" i="3" s="1"/>
  <c r="V217" i="3"/>
  <c r="AE217" i="3"/>
  <c r="A218" i="3"/>
  <c r="B218" i="3" s="1"/>
  <c r="W217" i="3" l="1"/>
  <c r="L217" i="3"/>
  <c r="AC218" i="3"/>
  <c r="AA218" i="3"/>
  <c r="Z218" i="3"/>
  <c r="AD218" i="3"/>
  <c r="P218" i="3"/>
  <c r="Q218" i="3" s="1"/>
  <c r="R218" i="3" s="1"/>
  <c r="S218" i="3" s="1"/>
  <c r="T218" i="3" l="1"/>
  <c r="AH218" i="3" s="1"/>
  <c r="U217" i="3"/>
  <c r="Y216" i="3"/>
  <c r="AG218" i="3" l="1"/>
  <c r="D218" i="3"/>
  <c r="G218" i="3" s="1"/>
  <c r="E218" i="3"/>
  <c r="H218" i="3" s="1"/>
  <c r="K218" i="3" s="1"/>
  <c r="F218" i="3" l="1"/>
  <c r="V218" i="3"/>
  <c r="A219" i="3"/>
  <c r="B219" i="3" s="1"/>
  <c r="AE218" i="3"/>
  <c r="I218" i="3"/>
  <c r="J218" i="3"/>
  <c r="M218" i="3"/>
  <c r="N218" i="3" s="1"/>
  <c r="AA219" i="3" l="1"/>
  <c r="Z219" i="3"/>
  <c r="P219" i="3"/>
  <c r="Q219" i="3" s="1"/>
  <c r="R219" i="3" s="1"/>
  <c r="S219" i="3" s="1"/>
  <c r="AD219" i="3"/>
  <c r="AC219" i="3"/>
  <c r="L218" i="3"/>
  <c r="W218" i="3"/>
  <c r="T219" i="3" l="1"/>
  <c r="AH219" i="3" s="1"/>
  <c r="U218" i="3"/>
  <c r="Y217" i="3"/>
  <c r="AG219" i="3" l="1"/>
  <c r="E219" i="3"/>
  <c r="H219" i="3" s="1"/>
  <c r="K219" i="3" s="1"/>
  <c r="D219" i="3"/>
  <c r="F219" i="3" l="1"/>
  <c r="G219" i="3"/>
  <c r="I219" i="3" s="1"/>
  <c r="V219" i="3"/>
  <c r="AE219" i="3"/>
  <c r="A220" i="3"/>
  <c r="B220" i="3" s="1"/>
  <c r="M219" i="3" l="1"/>
  <c r="N219" i="3" s="1"/>
  <c r="J219" i="3"/>
  <c r="L219" i="3" s="1"/>
  <c r="W219" i="3"/>
  <c r="Z220" i="3"/>
  <c r="P220" i="3"/>
  <c r="Q220" i="3" s="1"/>
  <c r="R220" i="3" s="1"/>
  <c r="S220" i="3" s="1"/>
  <c r="AC220" i="3"/>
  <c r="AA220" i="3"/>
  <c r="AD220" i="3"/>
  <c r="T220" i="3" l="1"/>
  <c r="AG220" i="3" s="1"/>
  <c r="U219" i="3"/>
  <c r="Y218" i="3"/>
  <c r="AH220" i="3" l="1"/>
  <c r="E220" i="3"/>
  <c r="H220" i="3" s="1"/>
  <c r="K220" i="3" s="1"/>
  <c r="D220" i="3"/>
  <c r="F220" i="3" l="1"/>
  <c r="G220" i="3"/>
  <c r="M220" i="3" s="1"/>
  <c r="N220" i="3" s="1"/>
  <c r="V220" i="3"/>
  <c r="AE220" i="3"/>
  <c r="A221" i="3"/>
  <c r="B221" i="3" s="1"/>
  <c r="J220" i="3" l="1"/>
  <c r="L220" i="3" s="1"/>
  <c r="I220" i="3"/>
  <c r="W220" i="3" s="1"/>
  <c r="P221" i="3"/>
  <c r="Q221" i="3" s="1"/>
  <c r="R221" i="3" s="1"/>
  <c r="S221" i="3" s="1"/>
  <c r="AC221" i="3"/>
  <c r="AA221" i="3"/>
  <c r="AD221" i="3"/>
  <c r="Z221" i="3"/>
  <c r="T221" i="3" l="1"/>
  <c r="AG221" i="3" s="1"/>
  <c r="U220" i="3"/>
  <c r="Y219" i="3"/>
  <c r="AH221" i="3" l="1"/>
  <c r="D221" i="3"/>
  <c r="G221" i="3" s="1"/>
  <c r="E221" i="3"/>
  <c r="H221" i="3" s="1"/>
  <c r="I221" i="3" l="1"/>
  <c r="J221" i="3"/>
  <c r="M221" i="3"/>
  <c r="N221" i="3" s="1"/>
  <c r="K221" i="3"/>
  <c r="F221" i="3"/>
  <c r="V221" i="3" l="1"/>
  <c r="W221" i="3" s="1"/>
  <c r="AE221" i="3"/>
  <c r="A222" i="3"/>
  <c r="B222" i="3" s="1"/>
  <c r="L221" i="3"/>
  <c r="AD222" i="3" l="1"/>
  <c r="P222" i="3"/>
  <c r="Q222" i="3" s="1"/>
  <c r="R222" i="3" s="1"/>
  <c r="S222" i="3" s="1"/>
  <c r="Z222" i="3"/>
  <c r="AC222" i="3"/>
  <c r="AA222" i="3"/>
  <c r="U221" i="3"/>
  <c r="Y220" i="3"/>
  <c r="T222" i="3" l="1"/>
  <c r="D222" i="3" s="1"/>
  <c r="AG222" i="3" l="1"/>
  <c r="AH222" i="3"/>
  <c r="E222" i="3"/>
  <c r="H222" i="3" s="1"/>
  <c r="K222" i="3" s="1"/>
  <c r="G222" i="3"/>
  <c r="F222" i="3" l="1"/>
  <c r="I222" i="3"/>
  <c r="J222" i="3"/>
  <c r="M222" i="3"/>
  <c r="N222" i="3" s="1"/>
  <c r="V222" i="3"/>
  <c r="A223" i="3"/>
  <c r="B223" i="3" s="1"/>
  <c r="AE222" i="3"/>
  <c r="W222" i="3" l="1"/>
  <c r="AA223" i="3"/>
  <c r="P223" i="3"/>
  <c r="Q223" i="3" s="1"/>
  <c r="R223" i="3" s="1"/>
  <c r="S223" i="3" s="1"/>
  <c r="AC223" i="3"/>
  <c r="AD223" i="3"/>
  <c r="Z223" i="3"/>
  <c r="L222" i="3"/>
  <c r="T223" i="3" l="1"/>
  <c r="AG223" i="3" s="1"/>
  <c r="U222" i="3"/>
  <c r="Y221" i="3"/>
  <c r="AH223" i="3" l="1"/>
  <c r="E223" i="3"/>
  <c r="H223" i="3" s="1"/>
  <c r="K223" i="3" s="1"/>
  <c r="D223" i="3"/>
  <c r="F223" i="3" l="1"/>
  <c r="G223" i="3"/>
  <c r="I223" i="3" s="1"/>
  <c r="V223" i="3"/>
  <c r="A224" i="3"/>
  <c r="B224" i="3" s="1"/>
  <c r="AE223" i="3"/>
  <c r="J223" i="3" l="1"/>
  <c r="L223" i="3" s="1"/>
  <c r="M223" i="3"/>
  <c r="N223" i="3" s="1"/>
  <c r="W223" i="3"/>
  <c r="AC224" i="3"/>
  <c r="AA224" i="3"/>
  <c r="Z224" i="3"/>
  <c r="P224" i="3"/>
  <c r="Q224" i="3" s="1"/>
  <c r="R224" i="3" s="1"/>
  <c r="S224" i="3" s="1"/>
  <c r="T224" i="3" l="1"/>
  <c r="AH224" i="3" s="1"/>
  <c r="U223" i="3"/>
  <c r="Y222" i="3"/>
  <c r="AG224" i="3" l="1"/>
  <c r="D224" i="3"/>
  <c r="G224" i="3" s="1"/>
  <c r="E224" i="3"/>
  <c r="H224" i="3" s="1"/>
  <c r="K224" i="3" l="1"/>
  <c r="AE224" i="3" s="1"/>
  <c r="I224" i="3"/>
  <c r="J224" i="3"/>
  <c r="M224" i="3"/>
  <c r="N224" i="3" s="1"/>
  <c r="F224" i="3"/>
  <c r="L224" i="3" l="1"/>
  <c r="AD224" i="3"/>
  <c r="V224" i="3"/>
  <c r="W224" i="3" s="1"/>
  <c r="A225" i="3"/>
  <c r="B225" i="3" s="1"/>
  <c r="Z225" i="3" l="1"/>
  <c r="AC225" i="3"/>
  <c r="P225" i="3"/>
  <c r="Q225" i="3" s="1"/>
  <c r="R225" i="3" s="1"/>
  <c r="S225" i="3" s="1"/>
  <c r="AA225" i="3"/>
  <c r="AD225" i="3"/>
  <c r="U224" i="3"/>
  <c r="Y223" i="3"/>
  <c r="T225" i="3" l="1"/>
  <c r="AH225" i="3" s="1"/>
  <c r="AG225" i="3" l="1"/>
  <c r="D225" i="3"/>
  <c r="E225" i="3"/>
  <c r="H225" i="3" s="1"/>
  <c r="K225" i="3" s="1"/>
  <c r="AE225" i="3" s="1"/>
  <c r="F225" i="3" l="1"/>
  <c r="G225" i="3"/>
  <c r="J225" i="3" s="1"/>
  <c r="V225" i="3"/>
  <c r="A226" i="3"/>
  <c r="B226" i="3" s="1"/>
  <c r="M225" i="3" l="1"/>
  <c r="N225" i="3" s="1"/>
  <c r="I225" i="3"/>
  <c r="W225" i="3" s="1"/>
  <c r="L225" i="3"/>
  <c r="AA226" i="3"/>
  <c r="P226" i="3"/>
  <c r="Q226" i="3" s="1"/>
  <c r="R226" i="3" s="1"/>
  <c r="S226" i="3" s="1"/>
  <c r="AD226" i="3"/>
  <c r="AC226" i="3"/>
  <c r="Z226" i="3"/>
  <c r="T226" i="3" l="1"/>
  <c r="AH226" i="3" s="1"/>
  <c r="U225" i="3"/>
  <c r="Y224" i="3"/>
  <c r="AG226" i="3" l="1"/>
  <c r="D226" i="3"/>
  <c r="E226" i="3"/>
  <c r="H226" i="3" s="1"/>
  <c r="K226" i="3" s="1"/>
  <c r="AE226" i="3" s="1"/>
  <c r="F226" i="3" l="1"/>
  <c r="G226" i="3"/>
  <c r="J226" i="3" s="1"/>
  <c r="V226" i="3"/>
  <c r="A227" i="3"/>
  <c r="B227" i="3" s="1"/>
  <c r="M226" i="3" l="1"/>
  <c r="N226" i="3" s="1"/>
  <c r="I226" i="3"/>
  <c r="W226" i="3" s="1"/>
  <c r="L226" i="3"/>
  <c r="AD227" i="3"/>
  <c r="AA227" i="3"/>
  <c r="P227" i="3"/>
  <c r="Q227" i="3" s="1"/>
  <c r="R227" i="3" s="1"/>
  <c r="S227" i="3" s="1"/>
  <c r="Z227" i="3"/>
  <c r="AC227" i="3"/>
  <c r="T227" i="3" l="1"/>
  <c r="AH227" i="3" s="1"/>
  <c r="U226" i="3"/>
  <c r="Y225" i="3"/>
  <c r="E227" i="3" l="1"/>
  <c r="H227" i="3" s="1"/>
  <c r="K227" i="3" s="1"/>
  <c r="AE227" i="3" s="1"/>
  <c r="AG227" i="3"/>
  <c r="D227" i="3"/>
  <c r="F227" i="3" l="1"/>
  <c r="G227" i="3"/>
  <c r="I227" i="3" s="1"/>
  <c r="V227" i="3"/>
  <c r="A228" i="3"/>
  <c r="B228" i="3" s="1"/>
  <c r="M227" i="3" l="1"/>
  <c r="N227" i="3" s="1"/>
  <c r="J227" i="3"/>
  <c r="L227" i="3" s="1"/>
  <c r="W227" i="3"/>
  <c r="AA228" i="3"/>
  <c r="AD228" i="3"/>
  <c r="Z228" i="3"/>
  <c r="P228" i="3"/>
  <c r="Q228" i="3" s="1"/>
  <c r="R228" i="3" s="1"/>
  <c r="S228" i="3" s="1"/>
  <c r="AC228" i="3"/>
  <c r="T228" i="3" l="1"/>
  <c r="U227" i="3"/>
  <c r="Y226" i="3"/>
  <c r="D228" i="3" l="1"/>
  <c r="G228" i="3" s="1"/>
  <c r="AH228" i="3"/>
  <c r="E228" i="3"/>
  <c r="H228" i="3" s="1"/>
  <c r="K228" i="3" s="1"/>
  <c r="AE228" i="3" s="1"/>
  <c r="AG228" i="3"/>
  <c r="F228" i="3" l="1"/>
  <c r="I228" i="3"/>
  <c r="J228" i="3"/>
  <c r="M228" i="3"/>
  <c r="N228" i="3" s="1"/>
  <c r="V228" i="3"/>
  <c r="A229" i="3"/>
  <c r="B229" i="3" s="1"/>
  <c r="W228" i="3" l="1"/>
  <c r="P229" i="3"/>
  <c r="Q229" i="3" s="1"/>
  <c r="R229" i="3" s="1"/>
  <c r="S229" i="3" s="1"/>
  <c r="Z229" i="3"/>
  <c r="AA229" i="3"/>
  <c r="AC229" i="3"/>
  <c r="AD229" i="3"/>
  <c r="L228" i="3"/>
  <c r="U228" i="3" l="1"/>
  <c r="Y227" i="3"/>
  <c r="T229" i="3"/>
  <c r="AG229" i="3" s="1"/>
  <c r="AH229" i="3" l="1"/>
  <c r="D229" i="3"/>
  <c r="G229" i="3" s="1"/>
  <c r="E229" i="3"/>
  <c r="H229" i="3" s="1"/>
  <c r="K229" i="3" s="1"/>
  <c r="AE229" i="3" s="1"/>
  <c r="F229" i="3" l="1"/>
  <c r="V229" i="3"/>
  <c r="A230" i="3"/>
  <c r="B230" i="3" s="1"/>
  <c r="I229" i="3"/>
  <c r="J229" i="3"/>
  <c r="M229" i="3"/>
  <c r="N229" i="3" s="1"/>
  <c r="L229" i="3" l="1"/>
  <c r="AD230" i="3"/>
  <c r="Z230" i="3"/>
  <c r="AA230" i="3"/>
  <c r="P230" i="3"/>
  <c r="Q230" i="3" s="1"/>
  <c r="R230" i="3" s="1"/>
  <c r="S230" i="3" s="1"/>
  <c r="AC230" i="3"/>
  <c r="W229" i="3"/>
  <c r="T230" i="3" l="1"/>
  <c r="AH230" i="3" s="1"/>
  <c r="U229" i="3"/>
  <c r="Y228" i="3"/>
  <c r="D230" i="3" l="1"/>
  <c r="G230" i="3" s="1"/>
  <c r="AG230" i="3"/>
  <c r="E230" i="3"/>
  <c r="H230" i="3" s="1"/>
  <c r="K230" i="3" s="1"/>
  <c r="AE230" i="3" s="1"/>
  <c r="F230" i="3" l="1"/>
  <c r="I230" i="3"/>
  <c r="J230" i="3"/>
  <c r="M230" i="3"/>
  <c r="N230" i="3" s="1"/>
  <c r="V230" i="3"/>
  <c r="A231" i="3"/>
  <c r="B231" i="3" s="1"/>
  <c r="W230" i="3" l="1"/>
  <c r="AA231" i="3"/>
  <c r="AC231" i="3"/>
  <c r="Z231" i="3"/>
  <c r="AD231" i="3"/>
  <c r="P231" i="3"/>
  <c r="Q231" i="3" s="1"/>
  <c r="R231" i="3" s="1"/>
  <c r="S231" i="3" s="1"/>
  <c r="L230" i="3"/>
  <c r="T231" i="3" l="1"/>
  <c r="AG231" i="3" s="1"/>
  <c r="U230" i="3"/>
  <c r="Y229" i="3"/>
  <c r="AH231" i="3" l="1"/>
  <c r="D231" i="3"/>
  <c r="G231" i="3" s="1"/>
  <c r="E231" i="3"/>
  <c r="H231" i="3" s="1"/>
  <c r="K231" i="3" s="1"/>
  <c r="AE231" i="3" s="1"/>
  <c r="F231" i="3" l="1"/>
  <c r="V231" i="3"/>
  <c r="A232" i="3"/>
  <c r="B232" i="3" s="1"/>
  <c r="I231" i="3"/>
  <c r="J231" i="3"/>
  <c r="M231" i="3"/>
  <c r="N231" i="3" s="1"/>
  <c r="L231" i="3" l="1"/>
  <c r="Z232" i="3"/>
  <c r="P232" i="3"/>
  <c r="Q232" i="3" s="1"/>
  <c r="R232" i="3" s="1"/>
  <c r="S232" i="3" s="1"/>
  <c r="AC232" i="3"/>
  <c r="AD232" i="3"/>
  <c r="AA232" i="3"/>
  <c r="W231" i="3"/>
  <c r="U231" i="3" l="1"/>
  <c r="Y230" i="3"/>
  <c r="T232" i="3"/>
  <c r="E232" i="3" l="1"/>
  <c r="H232" i="3" s="1"/>
  <c r="K232" i="3" s="1"/>
  <c r="AE232" i="3" s="1"/>
  <c r="AG232" i="3"/>
  <c r="AH232" i="3"/>
  <c r="D232" i="3"/>
  <c r="F232" i="3" l="1"/>
  <c r="G232" i="3"/>
  <c r="V232" i="3"/>
  <c r="A233" i="3"/>
  <c r="B233" i="3" s="1"/>
  <c r="AD233" i="3" l="1"/>
  <c r="P233" i="3"/>
  <c r="Q233" i="3" s="1"/>
  <c r="R233" i="3" s="1"/>
  <c r="S233" i="3" s="1"/>
  <c r="AA233" i="3"/>
  <c r="AC233" i="3"/>
  <c r="Z233" i="3"/>
  <c r="I232" i="3"/>
  <c r="W232" i="3" s="1"/>
  <c r="J232" i="3"/>
  <c r="M232" i="3"/>
  <c r="N232" i="3" s="1"/>
  <c r="L232" i="3" l="1"/>
  <c r="T233" i="3"/>
  <c r="AG233" i="3" l="1"/>
  <c r="AH233" i="3"/>
  <c r="U232" i="3"/>
  <c r="D233" i="3" s="1"/>
  <c r="Y231" i="3"/>
  <c r="E233" i="3" l="1"/>
  <c r="H233" i="3" s="1"/>
  <c r="K233" i="3" s="1"/>
  <c r="AE233" i="3" s="1"/>
  <c r="G233" i="3"/>
  <c r="F233" i="3" l="1"/>
  <c r="V233" i="3"/>
  <c r="A234" i="3"/>
  <c r="B234" i="3" s="1"/>
  <c r="I233" i="3"/>
  <c r="J233" i="3"/>
  <c r="M233" i="3"/>
  <c r="N233" i="3" s="1"/>
  <c r="L233" i="3" l="1"/>
  <c r="AA234" i="3"/>
  <c r="P234" i="3"/>
  <c r="Q234" i="3" s="1"/>
  <c r="R234" i="3" s="1"/>
  <c r="S234" i="3" s="1"/>
  <c r="Z234" i="3"/>
  <c r="AC234" i="3"/>
  <c r="W233" i="3"/>
  <c r="T234" i="3" l="1"/>
  <c r="AH234" i="3" s="1"/>
  <c r="U233" i="3"/>
  <c r="Y232" i="3"/>
  <c r="AG234" i="3" l="1"/>
  <c r="D234" i="3"/>
  <c r="G234" i="3" s="1"/>
  <c r="E234" i="3"/>
  <c r="H234" i="3" s="1"/>
  <c r="K234" i="3" s="1"/>
  <c r="AE234" i="3" s="1"/>
  <c r="F234" i="3" l="1"/>
  <c r="V234" i="3"/>
  <c r="A235" i="3"/>
  <c r="B235" i="3" s="1"/>
  <c r="I234" i="3"/>
  <c r="J234" i="3"/>
  <c r="M234" i="3"/>
  <c r="N234" i="3" s="1"/>
  <c r="Z235" i="3" l="1"/>
  <c r="AA235" i="3"/>
  <c r="P235" i="3"/>
  <c r="Q235" i="3" s="1"/>
  <c r="R235" i="3" s="1"/>
  <c r="S235" i="3" s="1"/>
  <c r="AD235" i="3"/>
  <c r="AC235" i="3"/>
  <c r="L234" i="3"/>
  <c r="AD234" i="3"/>
  <c r="W234" i="3"/>
  <c r="U234" i="3" l="1"/>
  <c r="Y233" i="3"/>
  <c r="T235" i="3"/>
  <c r="D235" i="3" l="1"/>
  <c r="G235" i="3" s="1"/>
  <c r="E235" i="3"/>
  <c r="H235" i="3" s="1"/>
  <c r="AG235" i="3"/>
  <c r="AH235" i="3"/>
  <c r="K235" i="3" l="1"/>
  <c r="AE235" i="3" s="1"/>
  <c r="I235" i="3"/>
  <c r="J235" i="3"/>
  <c r="M235" i="3"/>
  <c r="N235" i="3" s="1"/>
  <c r="F235" i="3"/>
  <c r="L235" i="3" l="1"/>
  <c r="V235" i="3"/>
  <c r="W235" i="3" s="1"/>
  <c r="A236" i="3"/>
  <c r="B236" i="3" s="1"/>
  <c r="AA236" i="3" l="1"/>
  <c r="Z236" i="3"/>
  <c r="AD236" i="3"/>
  <c r="P236" i="3"/>
  <c r="Q236" i="3" s="1"/>
  <c r="R236" i="3" s="1"/>
  <c r="S236" i="3" s="1"/>
  <c r="AC236" i="3"/>
  <c r="U235" i="3"/>
  <c r="Y234" i="3"/>
  <c r="T236" i="3" l="1"/>
  <c r="AH236" i="3" s="1"/>
  <c r="E236" i="3" l="1"/>
  <c r="H236" i="3" s="1"/>
  <c r="K236" i="3" s="1"/>
  <c r="AE236" i="3" s="1"/>
  <c r="D236" i="3"/>
  <c r="AG236" i="3"/>
  <c r="F236" i="3" l="1"/>
  <c r="G236" i="3"/>
  <c r="I236" i="3" s="1"/>
  <c r="V236" i="3"/>
  <c r="A237" i="3"/>
  <c r="B237" i="3" s="1"/>
  <c r="M236" i="3" l="1"/>
  <c r="N236" i="3" s="1"/>
  <c r="J236" i="3"/>
  <c r="L236" i="3" s="1"/>
  <c r="W236" i="3"/>
  <c r="AD237" i="3"/>
  <c r="AA237" i="3"/>
  <c r="Z237" i="3"/>
  <c r="AC237" i="3"/>
  <c r="P237" i="3"/>
  <c r="Q237" i="3" s="1"/>
  <c r="R237" i="3" s="1"/>
  <c r="S237" i="3" s="1"/>
  <c r="T237" i="3" l="1"/>
  <c r="AH237" i="3" s="1"/>
  <c r="U236" i="3"/>
  <c r="Y235" i="3"/>
  <c r="D237" i="3" l="1"/>
  <c r="G237" i="3" s="1"/>
  <c r="AG237" i="3"/>
  <c r="E237" i="3"/>
  <c r="H237" i="3" s="1"/>
  <c r="K237" i="3" s="1"/>
  <c r="AE237" i="3" s="1"/>
  <c r="F237" i="3" l="1"/>
  <c r="V237" i="3"/>
  <c r="A238" i="3"/>
  <c r="B238" i="3" s="1"/>
  <c r="I237" i="3"/>
  <c r="J237" i="3"/>
  <c r="M237" i="3"/>
  <c r="N237" i="3" s="1"/>
  <c r="L237" i="3" l="1"/>
  <c r="Z238" i="3"/>
  <c r="P238" i="3"/>
  <c r="Q238" i="3" s="1"/>
  <c r="R238" i="3" s="1"/>
  <c r="S238" i="3" s="1"/>
  <c r="AD238" i="3"/>
  <c r="AA238" i="3"/>
  <c r="AC238" i="3"/>
  <c r="W237" i="3"/>
  <c r="T238" i="3" l="1"/>
  <c r="AG238" i="3" s="1"/>
  <c r="U237" i="3"/>
  <c r="Y236" i="3"/>
  <c r="AH238" i="3" l="1"/>
  <c r="D238" i="3"/>
  <c r="G238" i="3" s="1"/>
  <c r="E238" i="3"/>
  <c r="H238" i="3" s="1"/>
  <c r="K238" i="3" s="1"/>
  <c r="AE238" i="3" s="1"/>
  <c r="F238" i="3" l="1"/>
  <c r="I238" i="3"/>
  <c r="J238" i="3"/>
  <c r="M238" i="3"/>
  <c r="N238" i="3" s="1"/>
  <c r="V238" i="3"/>
  <c r="A239" i="3"/>
  <c r="B239" i="3" s="1"/>
  <c r="W238" i="3" l="1"/>
  <c r="AA239" i="3"/>
  <c r="P239" i="3"/>
  <c r="Q239" i="3" s="1"/>
  <c r="R239" i="3" s="1"/>
  <c r="S239" i="3" s="1"/>
  <c r="AC239" i="3"/>
  <c r="Z239" i="3"/>
  <c r="AD239" i="3"/>
  <c r="L238" i="3"/>
  <c r="T239" i="3" l="1"/>
  <c r="AH239" i="3" s="1"/>
  <c r="U238" i="3"/>
  <c r="Y237" i="3"/>
  <c r="E239" i="3" l="1"/>
  <c r="H239" i="3" s="1"/>
  <c r="K239" i="3" s="1"/>
  <c r="AE239" i="3" s="1"/>
  <c r="AG239" i="3"/>
  <c r="D239" i="3"/>
  <c r="F239" i="3" l="1"/>
  <c r="G239" i="3"/>
  <c r="I239" i="3" s="1"/>
  <c r="V239" i="3"/>
  <c r="A240" i="3"/>
  <c r="B240" i="3" s="1"/>
  <c r="M239" i="3" l="1"/>
  <c r="N239" i="3" s="1"/>
  <c r="J239" i="3"/>
  <c r="L239" i="3" s="1"/>
  <c r="W239" i="3"/>
  <c r="AA240" i="3"/>
  <c r="AC240" i="3"/>
  <c r="AD240" i="3"/>
  <c r="Z240" i="3"/>
  <c r="P240" i="3"/>
  <c r="Q240" i="3" s="1"/>
  <c r="R240" i="3" s="1"/>
  <c r="S240" i="3" s="1"/>
  <c r="T240" i="3" l="1"/>
  <c r="AG240" i="3" s="1"/>
  <c r="U239" i="3"/>
  <c r="Y238" i="3"/>
  <c r="AH240" i="3" l="1"/>
  <c r="E240" i="3"/>
  <c r="H240" i="3" s="1"/>
  <c r="K240" i="3" s="1"/>
  <c r="AE240" i="3" s="1"/>
  <c r="D240" i="3"/>
  <c r="F240" i="3" l="1"/>
  <c r="G240" i="3"/>
  <c r="I240" i="3" s="1"/>
  <c r="V240" i="3"/>
  <c r="A241" i="3"/>
  <c r="B241" i="3" s="1"/>
  <c r="M240" i="3" l="1"/>
  <c r="N240" i="3" s="1"/>
  <c r="J240" i="3"/>
  <c r="L240" i="3" s="1"/>
  <c r="AD241" i="3"/>
  <c r="Z241" i="3"/>
  <c r="AC241" i="3"/>
  <c r="AA241" i="3"/>
  <c r="P241" i="3"/>
  <c r="Q241" i="3" s="1"/>
  <c r="R241" i="3" s="1"/>
  <c r="S241" i="3" s="1"/>
  <c r="W240" i="3"/>
  <c r="T241" i="3" l="1"/>
  <c r="AG241" i="3" s="1"/>
  <c r="U240" i="3"/>
  <c r="Y239" i="3"/>
  <c r="AH241" i="3" l="1"/>
  <c r="D241" i="3"/>
  <c r="G241" i="3" s="1"/>
  <c r="E241" i="3"/>
  <c r="H241" i="3" s="1"/>
  <c r="K241" i="3" s="1"/>
  <c r="AE241" i="3" s="1"/>
  <c r="F241" i="3" l="1"/>
  <c r="V241" i="3"/>
  <c r="A242" i="3"/>
  <c r="B242" i="3" s="1"/>
  <c r="I241" i="3"/>
  <c r="J241" i="3"/>
  <c r="M241" i="3"/>
  <c r="N241" i="3" s="1"/>
  <c r="AC242" i="3" l="1"/>
  <c r="Z242" i="3"/>
  <c r="AD242" i="3"/>
  <c r="AA242" i="3"/>
  <c r="P242" i="3"/>
  <c r="Q242" i="3" s="1"/>
  <c r="R242" i="3" s="1"/>
  <c r="S242" i="3" s="1"/>
  <c r="L241" i="3"/>
  <c r="W241" i="3"/>
  <c r="T242" i="3" l="1"/>
  <c r="AG242" i="3" s="1"/>
  <c r="U241" i="3"/>
  <c r="Y240" i="3"/>
  <c r="AH242" i="3" l="1"/>
  <c r="D242" i="3"/>
  <c r="E242" i="3"/>
  <c r="H242" i="3" s="1"/>
  <c r="K242" i="3" s="1"/>
  <c r="AE242" i="3" s="1"/>
  <c r="F242" i="3" l="1"/>
  <c r="G242" i="3"/>
  <c r="I242" i="3" s="1"/>
  <c r="V242" i="3"/>
  <c r="A243" i="3"/>
  <c r="B243" i="3" s="1"/>
  <c r="M242" i="3" l="1"/>
  <c r="N242" i="3" s="1"/>
  <c r="W242" i="3"/>
  <c r="J242" i="3"/>
  <c r="L242" i="3" s="1"/>
  <c r="AD243" i="3"/>
  <c r="P243" i="3"/>
  <c r="Q243" i="3" s="1"/>
  <c r="R243" i="3" s="1"/>
  <c r="S243" i="3" s="1"/>
  <c r="AC243" i="3"/>
  <c r="AA243" i="3"/>
  <c r="Z243" i="3"/>
  <c r="U242" i="3" l="1"/>
  <c r="Y241" i="3"/>
  <c r="T243" i="3"/>
  <c r="AG243" i="3" s="1"/>
  <c r="E243" i="3" l="1"/>
  <c r="H243" i="3" s="1"/>
  <c r="K243" i="3" s="1"/>
  <c r="AE243" i="3" s="1"/>
  <c r="AH243" i="3"/>
  <c r="D243" i="3"/>
  <c r="F243" i="3" l="1"/>
  <c r="G243" i="3"/>
  <c r="I243" i="3" s="1"/>
  <c r="V243" i="3"/>
  <c r="A244" i="3"/>
  <c r="B244" i="3" s="1"/>
  <c r="M243" i="3" l="1"/>
  <c r="N243" i="3" s="1"/>
  <c r="J243" i="3"/>
  <c r="L243" i="3" s="1"/>
  <c r="W243" i="3"/>
  <c r="AA244" i="3"/>
  <c r="AC244" i="3"/>
  <c r="Z244" i="3"/>
  <c r="P244" i="3"/>
  <c r="Q244" i="3" s="1"/>
  <c r="R244" i="3" s="1"/>
  <c r="S244" i="3" s="1"/>
  <c r="U243" i="3" l="1"/>
  <c r="Y242" i="3"/>
  <c r="T244" i="3"/>
  <c r="AG244" i="3" s="1"/>
  <c r="D244" i="3" l="1"/>
  <c r="G244" i="3" s="1"/>
  <c r="AH244" i="3"/>
  <c r="E244" i="3"/>
  <c r="H244" i="3" s="1"/>
  <c r="K244" i="3" s="1"/>
  <c r="AE244" i="3" s="1"/>
  <c r="F244" i="3" l="1"/>
  <c r="V244" i="3"/>
  <c r="A245" i="3"/>
  <c r="B245" i="3" s="1"/>
  <c r="I244" i="3"/>
  <c r="J244" i="3"/>
  <c r="M244" i="3"/>
  <c r="N244" i="3" s="1"/>
  <c r="AC245" i="3" l="1"/>
  <c r="P245" i="3"/>
  <c r="Q245" i="3" s="1"/>
  <c r="R245" i="3" s="1"/>
  <c r="S245" i="3" s="1"/>
  <c r="AA245" i="3"/>
  <c r="Z245" i="3"/>
  <c r="AD245" i="3"/>
  <c r="L244" i="3"/>
  <c r="AD244" i="3"/>
  <c r="W244" i="3"/>
  <c r="U244" i="3" l="1"/>
  <c r="Y243" i="3"/>
  <c r="T245" i="3"/>
  <c r="D245" i="3" l="1"/>
  <c r="G245" i="3" s="1"/>
  <c r="AG245" i="3"/>
  <c r="AH245" i="3"/>
  <c r="E245" i="3"/>
  <c r="H245" i="3" s="1"/>
  <c r="K245" i="3" s="1"/>
  <c r="AE245" i="3" s="1"/>
  <c r="F245" i="3" l="1"/>
  <c r="V245" i="3"/>
  <c r="A246" i="3"/>
  <c r="B246" i="3" s="1"/>
  <c r="I245" i="3"/>
  <c r="J245" i="3"/>
  <c r="M245" i="3"/>
  <c r="N245" i="3" s="1"/>
  <c r="Z246" i="3" l="1"/>
  <c r="AD246" i="3"/>
  <c r="AC246" i="3"/>
  <c r="AA246" i="3"/>
  <c r="P246" i="3"/>
  <c r="Q246" i="3" s="1"/>
  <c r="R246" i="3" s="1"/>
  <c r="S246" i="3" s="1"/>
  <c r="L245" i="3"/>
  <c r="W245" i="3"/>
  <c r="T246" i="3" l="1"/>
  <c r="AG246" i="3" s="1"/>
  <c r="U245" i="3"/>
  <c r="Y244" i="3"/>
  <c r="E246" i="3" l="1"/>
  <c r="H246" i="3" s="1"/>
  <c r="K246" i="3" s="1"/>
  <c r="AE246" i="3" s="1"/>
  <c r="D246" i="3"/>
  <c r="AH246" i="3"/>
  <c r="F246" i="3" l="1"/>
  <c r="G246" i="3"/>
  <c r="I246" i="3" s="1"/>
  <c r="V246" i="3"/>
  <c r="A247" i="3"/>
  <c r="B247" i="3" s="1"/>
  <c r="J246" i="3" l="1"/>
  <c r="L246" i="3" s="1"/>
  <c r="M246" i="3"/>
  <c r="N246" i="3" s="1"/>
  <c r="W246" i="3"/>
  <c r="Z247" i="3"/>
  <c r="AD247" i="3"/>
  <c r="AC247" i="3"/>
  <c r="AA247" i="3"/>
  <c r="P247" i="3"/>
  <c r="Q247" i="3" s="1"/>
  <c r="R247" i="3" s="1"/>
  <c r="S247" i="3" s="1"/>
  <c r="T247" i="3" l="1"/>
  <c r="AH247" i="3" s="1"/>
  <c r="U246" i="3"/>
  <c r="Y245" i="3"/>
  <c r="E247" i="3" l="1"/>
  <c r="H247" i="3" s="1"/>
  <c r="K247" i="3" s="1"/>
  <c r="AE247" i="3" s="1"/>
  <c r="D247" i="3"/>
  <c r="AG247" i="3"/>
  <c r="F247" i="3" l="1"/>
  <c r="G247" i="3"/>
  <c r="I247" i="3" s="1"/>
  <c r="V247" i="3"/>
  <c r="A248" i="3"/>
  <c r="B248" i="3" s="1"/>
  <c r="M247" i="3" l="1"/>
  <c r="N247" i="3" s="1"/>
  <c r="J247" i="3"/>
  <c r="L247" i="3" s="1"/>
  <c r="W247" i="3"/>
  <c r="AA248" i="3"/>
  <c r="AC248" i="3"/>
  <c r="AD248" i="3"/>
  <c r="Z248" i="3"/>
  <c r="P248" i="3"/>
  <c r="Q248" i="3" s="1"/>
  <c r="R248" i="3" s="1"/>
  <c r="S248" i="3" s="1"/>
  <c r="T248" i="3" l="1"/>
  <c r="AH248" i="3" s="1"/>
  <c r="U247" i="3"/>
  <c r="Y246" i="3"/>
  <c r="AG248" i="3" l="1"/>
  <c r="E248" i="3"/>
  <c r="H248" i="3" s="1"/>
  <c r="K248" i="3" s="1"/>
  <c r="AE248" i="3" s="1"/>
  <c r="D248" i="3"/>
  <c r="F248" i="3" l="1"/>
  <c r="G248" i="3"/>
  <c r="V248" i="3"/>
  <c r="A249" i="3"/>
  <c r="B249" i="3" s="1"/>
  <c r="AD249" i="3" l="1"/>
  <c r="P249" i="3"/>
  <c r="Q249" i="3" s="1"/>
  <c r="R249" i="3" s="1"/>
  <c r="S249" i="3" s="1"/>
  <c r="AA249" i="3"/>
  <c r="AC249" i="3"/>
  <c r="Z249" i="3"/>
  <c r="I248" i="3"/>
  <c r="W248" i="3" s="1"/>
  <c r="J248" i="3"/>
  <c r="M248" i="3"/>
  <c r="N248" i="3" s="1"/>
  <c r="L248" i="3" l="1"/>
  <c r="T249" i="3"/>
  <c r="AG249" i="3" l="1"/>
  <c r="AH249" i="3"/>
  <c r="U248" i="3"/>
  <c r="D249" i="3" s="1"/>
  <c r="Y247" i="3"/>
  <c r="G249" i="3" l="1"/>
  <c r="E249" i="3"/>
  <c r="H249" i="3" s="1"/>
  <c r="K249" i="3" l="1"/>
  <c r="AE249" i="3" s="1"/>
  <c r="I249" i="3"/>
  <c r="J249" i="3"/>
  <c r="M249" i="3"/>
  <c r="N249" i="3" s="1"/>
  <c r="F249" i="3"/>
  <c r="L249" i="3" l="1"/>
  <c r="V249" i="3"/>
  <c r="W249" i="3" s="1"/>
  <c r="A250" i="3"/>
  <c r="B250" i="3" s="1"/>
  <c r="AA250" i="3" l="1"/>
  <c r="AC250" i="3"/>
  <c r="P250" i="3"/>
  <c r="Q250" i="3" s="1"/>
  <c r="R250" i="3" s="1"/>
  <c r="S250" i="3" s="1"/>
  <c r="Z250" i="3"/>
  <c r="AD250" i="3"/>
  <c r="U249" i="3"/>
  <c r="Y248" i="3"/>
  <c r="T250" i="3" l="1"/>
  <c r="AG250" i="3" s="1"/>
  <c r="D250" i="3" l="1"/>
  <c r="G250" i="3" s="1"/>
  <c r="E250" i="3"/>
  <c r="H250" i="3" s="1"/>
  <c r="AH250" i="3"/>
  <c r="F250" i="3" l="1"/>
  <c r="I250" i="3"/>
  <c r="J250" i="3"/>
  <c r="M250" i="3"/>
  <c r="N250" i="3" s="1"/>
  <c r="K250" i="3"/>
  <c r="AE250" i="3" s="1"/>
  <c r="V250" i="3" l="1"/>
  <c r="W250" i="3" s="1"/>
  <c r="A251" i="3"/>
  <c r="B251" i="3" s="1"/>
  <c r="L250" i="3"/>
  <c r="Z251" i="3" l="1"/>
  <c r="AD251" i="3"/>
  <c r="AA251" i="3"/>
  <c r="P251" i="3"/>
  <c r="Q251" i="3" s="1"/>
  <c r="R251" i="3" s="1"/>
  <c r="S251" i="3" s="1"/>
  <c r="AC251" i="3"/>
  <c r="U250" i="3"/>
  <c r="Y249" i="3"/>
  <c r="T251" i="3" l="1"/>
  <c r="E251" i="3" s="1"/>
  <c r="H251" i="3" s="1"/>
  <c r="AH251" i="3" l="1"/>
  <c r="D251" i="3"/>
  <c r="F251" i="3" s="1"/>
  <c r="AG251" i="3"/>
  <c r="K251" i="3"/>
  <c r="AE251" i="3" s="1"/>
  <c r="G251" i="3" l="1"/>
  <c r="I251" i="3" s="1"/>
  <c r="V251" i="3"/>
  <c r="A252" i="3"/>
  <c r="B252" i="3" s="1"/>
  <c r="J251" i="3" l="1"/>
  <c r="L251" i="3" s="1"/>
  <c r="M251" i="3"/>
  <c r="N251" i="3" s="1"/>
  <c r="P252" i="3"/>
  <c r="Q252" i="3" s="1"/>
  <c r="R252" i="3" s="1"/>
  <c r="S252" i="3" s="1"/>
  <c r="AA252" i="3"/>
  <c r="AC252" i="3"/>
  <c r="AD252" i="3"/>
  <c r="Z252" i="3"/>
  <c r="W251" i="3"/>
  <c r="T252" i="3" l="1"/>
  <c r="AH252" i="3" s="1"/>
  <c r="U251" i="3"/>
  <c r="Y250" i="3"/>
  <c r="AG252" i="3" l="1"/>
  <c r="E252" i="3"/>
  <c r="H252" i="3" s="1"/>
  <c r="K252" i="3" s="1"/>
  <c r="AE252" i="3" s="1"/>
  <c r="D252" i="3"/>
  <c r="G252" i="3" s="1"/>
  <c r="F252" i="3" l="1"/>
  <c r="I252" i="3"/>
  <c r="J252" i="3"/>
  <c r="M252" i="3"/>
  <c r="N252" i="3" s="1"/>
  <c r="V252" i="3"/>
  <c r="A253" i="3"/>
  <c r="B253" i="3" s="1"/>
  <c r="W252" i="3" l="1"/>
  <c r="AA253" i="3"/>
  <c r="AD253" i="3"/>
  <c r="AC253" i="3"/>
  <c r="Z253" i="3"/>
  <c r="P253" i="3"/>
  <c r="Q253" i="3" s="1"/>
  <c r="R253" i="3" s="1"/>
  <c r="S253" i="3" s="1"/>
  <c r="L252" i="3"/>
  <c r="T253" i="3" l="1"/>
  <c r="AH253" i="3" s="1"/>
  <c r="U252" i="3"/>
  <c r="Y251" i="3"/>
  <c r="D253" i="3" l="1"/>
  <c r="G253" i="3" s="1"/>
  <c r="AG253" i="3"/>
  <c r="E253" i="3"/>
  <c r="H253" i="3" s="1"/>
  <c r="K253" i="3" s="1"/>
  <c r="AE253" i="3" s="1"/>
  <c r="F253" i="3" l="1"/>
  <c r="I253" i="3"/>
  <c r="J253" i="3"/>
  <c r="M253" i="3"/>
  <c r="N253" i="3" s="1"/>
  <c r="V253" i="3"/>
  <c r="A254" i="3"/>
  <c r="B254" i="3" s="1"/>
  <c r="W253" i="3" l="1"/>
  <c r="Z254" i="3"/>
  <c r="AA254" i="3"/>
  <c r="P254" i="3"/>
  <c r="Q254" i="3" s="1"/>
  <c r="R254" i="3" s="1"/>
  <c r="S254" i="3" s="1"/>
  <c r="AC254" i="3"/>
  <c r="L253" i="3"/>
  <c r="T254" i="3" l="1"/>
  <c r="AG254" i="3" s="1"/>
  <c r="U253" i="3"/>
  <c r="Y252" i="3"/>
  <c r="AH254" i="3" l="1"/>
  <c r="E254" i="3"/>
  <c r="H254" i="3" s="1"/>
  <c r="K254" i="3" s="1"/>
  <c r="AE254" i="3" s="1"/>
  <c r="D254" i="3"/>
  <c r="F254" i="3" l="1"/>
  <c r="G254" i="3"/>
  <c r="V254" i="3"/>
  <c r="A255" i="3"/>
  <c r="B255" i="3" s="1"/>
  <c r="AA255" i="3" l="1"/>
  <c r="AC255" i="3"/>
  <c r="AD255" i="3"/>
  <c r="P255" i="3"/>
  <c r="Q255" i="3" s="1"/>
  <c r="R255" i="3" s="1"/>
  <c r="S255" i="3" s="1"/>
  <c r="Z255" i="3"/>
  <c r="I254" i="3"/>
  <c r="W254" i="3" s="1"/>
  <c r="J254" i="3"/>
  <c r="M254" i="3"/>
  <c r="N254" i="3" s="1"/>
  <c r="T255" i="3" l="1"/>
  <c r="L254" i="3"/>
  <c r="AD254" i="3"/>
  <c r="AH255" i="3" l="1"/>
  <c r="AG255" i="3"/>
  <c r="U254" i="3"/>
  <c r="D255" i="3" s="1"/>
  <c r="Y253" i="3"/>
  <c r="E255" i="3" l="1"/>
  <c r="H255" i="3" s="1"/>
  <c r="K255" i="3" s="1"/>
  <c r="AE255" i="3" s="1"/>
  <c r="G255" i="3"/>
  <c r="F255" i="3" l="1"/>
  <c r="I255" i="3"/>
  <c r="J255" i="3"/>
  <c r="M255" i="3"/>
  <c r="N255" i="3" s="1"/>
  <c r="V255" i="3"/>
  <c r="A256" i="3"/>
  <c r="B256" i="3" s="1"/>
  <c r="W255" i="3" l="1"/>
  <c r="Z256" i="3"/>
  <c r="AC256" i="3"/>
  <c r="AA256" i="3"/>
  <c r="P256" i="3"/>
  <c r="Q256" i="3" s="1"/>
  <c r="R256" i="3" s="1"/>
  <c r="S256" i="3" s="1"/>
  <c r="AD256" i="3"/>
  <c r="L255" i="3"/>
  <c r="T256" i="3" l="1"/>
  <c r="AH256" i="3" s="1"/>
  <c r="U255" i="3"/>
  <c r="Y254" i="3"/>
  <c r="D256" i="3" l="1"/>
  <c r="E256" i="3"/>
  <c r="H256" i="3" s="1"/>
  <c r="K256" i="3" s="1"/>
  <c r="AE256" i="3" s="1"/>
  <c r="AG256" i="3"/>
  <c r="F256" i="3" l="1"/>
  <c r="G256" i="3"/>
  <c r="J256" i="3" s="1"/>
  <c r="V256" i="3"/>
  <c r="A257" i="3"/>
  <c r="B257" i="3" s="1"/>
  <c r="I256" i="3" l="1"/>
  <c r="W256" i="3" s="1"/>
  <c r="M256" i="3"/>
  <c r="N256" i="3" s="1"/>
  <c r="L256" i="3"/>
  <c r="AD257" i="3"/>
  <c r="AC257" i="3"/>
  <c r="Z257" i="3"/>
  <c r="AA257" i="3"/>
  <c r="P257" i="3"/>
  <c r="Q257" i="3" s="1"/>
  <c r="R257" i="3" s="1"/>
  <c r="S257" i="3" s="1"/>
  <c r="T257" i="3" l="1"/>
  <c r="AG257" i="3" s="1"/>
  <c r="U256" i="3"/>
  <c r="Y255" i="3"/>
  <c r="D257" i="3" l="1"/>
  <c r="G257" i="3" s="1"/>
  <c r="AH257" i="3"/>
  <c r="E257" i="3"/>
  <c r="H257" i="3" s="1"/>
  <c r="K257" i="3" s="1"/>
  <c r="AE257" i="3" s="1"/>
  <c r="F257" i="3" l="1"/>
  <c r="V257" i="3"/>
  <c r="A258" i="3"/>
  <c r="B258" i="3" s="1"/>
  <c r="I257" i="3"/>
  <c r="J257" i="3"/>
  <c r="M257" i="3"/>
  <c r="N257" i="3" s="1"/>
  <c r="L257" i="3" l="1"/>
  <c r="AD258" i="3"/>
  <c r="Z258" i="3"/>
  <c r="P258" i="3"/>
  <c r="Q258" i="3" s="1"/>
  <c r="R258" i="3" s="1"/>
  <c r="S258" i="3" s="1"/>
  <c r="AC258" i="3"/>
  <c r="AA258" i="3"/>
  <c r="W257" i="3"/>
  <c r="T258" i="3" l="1"/>
  <c r="AH258" i="3" s="1"/>
  <c r="U257" i="3"/>
  <c r="Y256" i="3"/>
  <c r="D258" i="3" l="1"/>
  <c r="G258" i="3" s="1"/>
  <c r="AG258" i="3"/>
  <c r="E258" i="3"/>
  <c r="H258" i="3" s="1"/>
  <c r="K258" i="3" s="1"/>
  <c r="AE258" i="3" s="1"/>
  <c r="F258" i="3" l="1"/>
  <c r="V258" i="3"/>
  <c r="A259" i="3"/>
  <c r="B259" i="3" s="1"/>
  <c r="I258" i="3"/>
  <c r="J258" i="3"/>
  <c r="M258" i="3"/>
  <c r="N258" i="3" s="1"/>
  <c r="W258" i="3" l="1"/>
  <c r="L258" i="3"/>
  <c r="AC259" i="3"/>
  <c r="P259" i="3"/>
  <c r="Q259" i="3" s="1"/>
  <c r="R259" i="3" s="1"/>
  <c r="S259" i="3" s="1"/>
  <c r="AA259" i="3"/>
  <c r="Z259" i="3"/>
  <c r="AD259" i="3"/>
  <c r="U258" i="3" l="1"/>
  <c r="Y257" i="3"/>
  <c r="T259" i="3"/>
  <c r="E259" i="3" l="1"/>
  <c r="H259" i="3" s="1"/>
  <c r="K259" i="3" s="1"/>
  <c r="AE259" i="3" s="1"/>
  <c r="D259" i="3"/>
  <c r="AH259" i="3"/>
  <c r="AG259" i="3"/>
  <c r="F259" i="3" l="1"/>
  <c r="G259" i="3"/>
  <c r="I259" i="3" s="1"/>
  <c r="V259" i="3"/>
  <c r="A260" i="3"/>
  <c r="B260" i="3" s="1"/>
  <c r="M259" i="3" l="1"/>
  <c r="N259" i="3" s="1"/>
  <c r="W259" i="3"/>
  <c r="J259" i="3"/>
  <c r="L259" i="3" s="1"/>
  <c r="AD260" i="3"/>
  <c r="Z260" i="3"/>
  <c r="AC260" i="3"/>
  <c r="AA260" i="3"/>
  <c r="P260" i="3"/>
  <c r="Q260" i="3" s="1"/>
  <c r="R260" i="3" s="1"/>
  <c r="S260" i="3" s="1"/>
  <c r="T260" i="3" l="1"/>
  <c r="AH260" i="3" s="1"/>
  <c r="U259" i="3"/>
  <c r="Y258" i="3"/>
  <c r="AG260" i="3" l="1"/>
  <c r="D260" i="3"/>
  <c r="G260" i="3" s="1"/>
  <c r="E260" i="3"/>
  <c r="H260" i="3" s="1"/>
  <c r="K260" i="3" l="1"/>
  <c r="AE260" i="3" s="1"/>
  <c r="I260" i="3"/>
  <c r="J260" i="3"/>
  <c r="M260" i="3"/>
  <c r="N260" i="3" s="1"/>
  <c r="F260" i="3"/>
  <c r="L260" i="3" l="1"/>
  <c r="V260" i="3"/>
  <c r="W260" i="3" s="1"/>
  <c r="A261" i="3"/>
  <c r="B261" i="3" s="1"/>
  <c r="AA261" i="3" l="1"/>
  <c r="AD261" i="3"/>
  <c r="P261" i="3"/>
  <c r="Q261" i="3" s="1"/>
  <c r="R261" i="3" s="1"/>
  <c r="S261" i="3" s="1"/>
  <c r="Z261" i="3"/>
  <c r="AC261" i="3"/>
  <c r="U260" i="3"/>
  <c r="Y259" i="3"/>
  <c r="T261" i="3" l="1"/>
  <c r="E261" i="3" s="1"/>
  <c r="H261" i="3" s="1"/>
  <c r="AH261" i="3" l="1"/>
  <c r="D261" i="3"/>
  <c r="F261" i="3" s="1"/>
  <c r="AG261" i="3"/>
  <c r="K261" i="3"/>
  <c r="AE261" i="3" s="1"/>
  <c r="G261" i="3" l="1"/>
  <c r="I261" i="3" s="1"/>
  <c r="V261" i="3"/>
  <c r="A262" i="3"/>
  <c r="B262" i="3" s="1"/>
  <c r="M261" i="3" l="1"/>
  <c r="N261" i="3" s="1"/>
  <c r="J261" i="3"/>
  <c r="L261" i="3" s="1"/>
  <c r="W261" i="3"/>
  <c r="AA262" i="3"/>
  <c r="Z262" i="3"/>
  <c r="P262" i="3"/>
  <c r="Q262" i="3" s="1"/>
  <c r="R262" i="3" s="1"/>
  <c r="S262" i="3" s="1"/>
  <c r="AD262" i="3"/>
  <c r="AC262" i="3"/>
  <c r="T262" i="3" l="1"/>
  <c r="AG262" i="3" s="1"/>
  <c r="U261" i="3"/>
  <c r="Y260" i="3"/>
  <c r="AH262" i="3" l="1"/>
  <c r="D262" i="3"/>
  <c r="G262" i="3" s="1"/>
  <c r="E262" i="3"/>
  <c r="H262" i="3" s="1"/>
  <c r="K262" i="3" s="1"/>
  <c r="AE262" i="3" s="1"/>
  <c r="F262" i="3" l="1"/>
  <c r="I262" i="3"/>
  <c r="J262" i="3"/>
  <c r="M262" i="3"/>
  <c r="N262" i="3" s="1"/>
  <c r="V262" i="3"/>
  <c r="A263" i="3"/>
  <c r="B263" i="3" s="1"/>
  <c r="W262" i="3" l="1"/>
  <c r="Z263" i="3"/>
  <c r="AD263" i="3"/>
  <c r="AC263" i="3"/>
  <c r="AA263" i="3"/>
  <c r="P263" i="3"/>
  <c r="Q263" i="3" s="1"/>
  <c r="R263" i="3" s="1"/>
  <c r="S263" i="3" s="1"/>
  <c r="L262" i="3"/>
  <c r="T263" i="3" l="1"/>
  <c r="AG263" i="3" s="1"/>
  <c r="U262" i="3"/>
  <c r="Y261" i="3"/>
  <c r="AH263" i="3" l="1"/>
  <c r="E263" i="3"/>
  <c r="H263" i="3" s="1"/>
  <c r="K263" i="3" s="1"/>
  <c r="AE263" i="3" s="1"/>
  <c r="D263" i="3"/>
  <c r="F263" i="3" l="1"/>
  <c r="G263" i="3"/>
  <c r="V263" i="3"/>
  <c r="A264" i="3"/>
  <c r="B264" i="3" s="1"/>
  <c r="Z264" i="3" l="1"/>
  <c r="P264" i="3"/>
  <c r="Q264" i="3" s="1"/>
  <c r="R264" i="3" s="1"/>
  <c r="S264" i="3" s="1"/>
  <c r="AA264" i="3"/>
  <c r="AD264" i="3"/>
  <c r="AC264" i="3"/>
  <c r="I263" i="3"/>
  <c r="W263" i="3" s="1"/>
  <c r="J263" i="3"/>
  <c r="M263" i="3"/>
  <c r="N263" i="3" s="1"/>
  <c r="L263" i="3" l="1"/>
  <c r="T264" i="3"/>
  <c r="U263" i="3" l="1"/>
  <c r="D264" i="3" s="1"/>
  <c r="AG264" i="3"/>
  <c r="AH264" i="3"/>
  <c r="Y262" i="3"/>
  <c r="E264" i="3" l="1"/>
  <c r="H264" i="3" s="1"/>
  <c r="K264" i="3" s="1"/>
  <c r="AE264" i="3" s="1"/>
  <c r="G264" i="3"/>
  <c r="F264" i="3" l="1"/>
  <c r="V264" i="3"/>
  <c r="A265" i="3"/>
  <c r="B265" i="3" s="1"/>
  <c r="I264" i="3"/>
  <c r="J264" i="3"/>
  <c r="M264" i="3"/>
  <c r="N264" i="3" s="1"/>
  <c r="L264" i="3" l="1"/>
  <c r="AA265" i="3"/>
  <c r="Z265" i="3"/>
  <c r="AD265" i="3"/>
  <c r="AC265" i="3"/>
  <c r="P265" i="3"/>
  <c r="Q265" i="3" s="1"/>
  <c r="R265" i="3" s="1"/>
  <c r="S265" i="3" s="1"/>
  <c r="W264" i="3"/>
  <c r="T265" i="3" l="1"/>
  <c r="AG265" i="3" s="1"/>
  <c r="U264" i="3"/>
  <c r="Y263" i="3"/>
  <c r="D265" i="3" l="1"/>
  <c r="G265" i="3" s="1"/>
  <c r="AH265" i="3"/>
  <c r="E265" i="3"/>
  <c r="H265" i="3" s="1"/>
  <c r="I265" i="3" l="1"/>
  <c r="J265" i="3"/>
  <c r="M265" i="3"/>
  <c r="N265" i="3" s="1"/>
  <c r="K265" i="3"/>
  <c r="AE265" i="3" s="1"/>
  <c r="F265" i="3"/>
  <c r="V265" i="3" l="1"/>
  <c r="W265" i="3" s="1"/>
  <c r="A266" i="3"/>
  <c r="B266" i="3" s="1"/>
  <c r="L265" i="3"/>
  <c r="U265" i="3" l="1"/>
  <c r="Y264" i="3"/>
  <c r="AD266" i="3"/>
  <c r="P266" i="3"/>
  <c r="Q266" i="3" s="1"/>
  <c r="R266" i="3" s="1"/>
  <c r="S266" i="3" s="1"/>
  <c r="AA266" i="3"/>
  <c r="AC266" i="3"/>
  <c r="Z266" i="3"/>
  <c r="T266" i="3" l="1"/>
  <c r="AG266" i="3" s="1"/>
  <c r="AH266" i="3" l="1"/>
  <c r="D266" i="3"/>
  <c r="G266" i="3" s="1"/>
  <c r="E266" i="3"/>
  <c r="H266" i="3" s="1"/>
  <c r="K266" i="3" l="1"/>
  <c r="AE266" i="3" s="1"/>
  <c r="I266" i="3"/>
  <c r="J266" i="3"/>
  <c r="M266" i="3"/>
  <c r="N266" i="3" s="1"/>
  <c r="F266" i="3"/>
  <c r="V266" i="3" l="1"/>
  <c r="W266" i="3" s="1"/>
  <c r="A267" i="3"/>
  <c r="B267" i="3" s="1"/>
  <c r="L266" i="3"/>
  <c r="U266" i="3" l="1"/>
  <c r="Y265" i="3"/>
  <c r="AD267" i="3"/>
  <c r="AC267" i="3"/>
  <c r="P267" i="3"/>
  <c r="Q267" i="3" s="1"/>
  <c r="R267" i="3" s="1"/>
  <c r="S267" i="3" s="1"/>
  <c r="Z267" i="3"/>
  <c r="AA267" i="3"/>
  <c r="T267" i="3" l="1"/>
  <c r="AH267" i="3" s="1"/>
  <c r="D267" i="3" l="1"/>
  <c r="G267" i="3" s="1"/>
  <c r="E267" i="3"/>
  <c r="H267" i="3" s="1"/>
  <c r="K267" i="3" s="1"/>
  <c r="AE267" i="3" s="1"/>
  <c r="AG267" i="3"/>
  <c r="F267" i="3" l="1"/>
  <c r="I267" i="3"/>
  <c r="J267" i="3"/>
  <c r="M267" i="3"/>
  <c r="N267" i="3" s="1"/>
  <c r="V267" i="3"/>
  <c r="A268" i="3"/>
  <c r="B268" i="3" s="1"/>
  <c r="W267" i="3" l="1"/>
  <c r="Z268" i="3"/>
  <c r="AA268" i="3"/>
  <c r="AC268" i="3"/>
  <c r="P268" i="3"/>
  <c r="Q268" i="3" s="1"/>
  <c r="R268" i="3" s="1"/>
  <c r="S268" i="3" s="1"/>
  <c r="AD268" i="3"/>
  <c r="L267" i="3"/>
  <c r="T268" i="3" l="1"/>
  <c r="AG268" i="3" s="1"/>
  <c r="U267" i="3"/>
  <c r="Y266" i="3"/>
  <c r="D268" i="3" l="1"/>
  <c r="G268" i="3" s="1"/>
  <c r="AH268" i="3"/>
  <c r="E268" i="3"/>
  <c r="H268" i="3" s="1"/>
  <c r="K268" i="3" s="1"/>
  <c r="AE268" i="3" s="1"/>
  <c r="F268" i="3" l="1"/>
  <c r="V268" i="3"/>
  <c r="A269" i="3"/>
  <c r="B269" i="3" s="1"/>
  <c r="I268" i="3"/>
  <c r="J268" i="3"/>
  <c r="M268" i="3"/>
  <c r="N268" i="3" s="1"/>
  <c r="Z269" i="3" l="1"/>
  <c r="AC269" i="3"/>
  <c r="AD269" i="3"/>
  <c r="AA269" i="3"/>
  <c r="P269" i="3"/>
  <c r="Q269" i="3" s="1"/>
  <c r="R269" i="3" s="1"/>
  <c r="S269" i="3" s="1"/>
  <c r="L268" i="3"/>
  <c r="W268" i="3"/>
  <c r="T269" i="3" l="1"/>
  <c r="AH269" i="3" s="1"/>
  <c r="U268" i="3"/>
  <c r="Y267" i="3"/>
  <c r="D269" i="3" l="1"/>
  <c r="G269" i="3" s="1"/>
  <c r="AG269" i="3"/>
  <c r="E269" i="3"/>
  <c r="H269" i="3" s="1"/>
  <c r="K269" i="3" s="1"/>
  <c r="AE269" i="3" s="1"/>
  <c r="F269" i="3" l="1"/>
  <c r="V269" i="3"/>
  <c r="A270" i="3"/>
  <c r="B270" i="3" s="1"/>
  <c r="I269" i="3"/>
  <c r="J269" i="3"/>
  <c r="M269" i="3"/>
  <c r="N269" i="3" s="1"/>
  <c r="L269" i="3" l="1"/>
  <c r="P270" i="3"/>
  <c r="Q270" i="3" s="1"/>
  <c r="R270" i="3" s="1"/>
  <c r="S270" i="3" s="1"/>
  <c r="Z270" i="3"/>
  <c r="AC270" i="3"/>
  <c r="AD270" i="3"/>
  <c r="AA270" i="3"/>
  <c r="W269" i="3"/>
  <c r="T270" i="3" l="1"/>
  <c r="AG270" i="3" s="1"/>
  <c r="U269" i="3"/>
  <c r="Y268" i="3"/>
  <c r="AH270" i="3" l="1"/>
  <c r="E270" i="3"/>
  <c r="H270" i="3" s="1"/>
  <c r="K270" i="3" s="1"/>
  <c r="AE270" i="3" s="1"/>
  <c r="D270" i="3"/>
  <c r="F270" i="3" l="1"/>
  <c r="G270" i="3"/>
  <c r="I270" i="3" s="1"/>
  <c r="V270" i="3"/>
  <c r="A271" i="3"/>
  <c r="B271" i="3" s="1"/>
  <c r="W270" i="3" l="1"/>
  <c r="M270" i="3"/>
  <c r="N270" i="3" s="1"/>
  <c r="J270" i="3"/>
  <c r="L270" i="3" s="1"/>
  <c r="AC271" i="3"/>
  <c r="AD271" i="3"/>
  <c r="Z271" i="3"/>
  <c r="AA271" i="3"/>
  <c r="P271" i="3"/>
  <c r="Q271" i="3" s="1"/>
  <c r="R271" i="3" s="1"/>
  <c r="S271" i="3" s="1"/>
  <c r="T271" i="3" l="1"/>
  <c r="AG271" i="3" s="1"/>
  <c r="U270" i="3"/>
  <c r="Y269" i="3"/>
  <c r="AH271" i="3" l="1"/>
  <c r="E271" i="3"/>
  <c r="H271" i="3" s="1"/>
  <c r="K271" i="3" s="1"/>
  <c r="AE271" i="3" s="1"/>
  <c r="D271" i="3"/>
  <c r="F271" i="3" l="1"/>
  <c r="G271" i="3"/>
  <c r="I271" i="3" s="1"/>
  <c r="V271" i="3"/>
  <c r="A272" i="3"/>
  <c r="B272" i="3" s="1"/>
  <c r="M271" i="3" l="1"/>
  <c r="N271" i="3" s="1"/>
  <c r="J271" i="3"/>
  <c r="L271" i="3" s="1"/>
  <c r="W271" i="3"/>
  <c r="AC272" i="3"/>
  <c r="AD272" i="3"/>
  <c r="P272" i="3"/>
  <c r="Q272" i="3" s="1"/>
  <c r="R272" i="3" s="1"/>
  <c r="S272" i="3" s="1"/>
  <c r="AA272" i="3"/>
  <c r="Z272" i="3"/>
  <c r="T272" i="3" l="1"/>
  <c r="AH272" i="3" s="1"/>
  <c r="U271" i="3"/>
  <c r="Y270" i="3"/>
  <c r="D272" i="3" l="1"/>
  <c r="G272" i="3" s="1"/>
  <c r="AG272" i="3"/>
  <c r="E272" i="3"/>
  <c r="H272" i="3" s="1"/>
  <c r="K272" i="3" s="1"/>
  <c r="AE272" i="3" s="1"/>
  <c r="F272" i="3" l="1"/>
  <c r="I272" i="3"/>
  <c r="J272" i="3"/>
  <c r="M272" i="3"/>
  <c r="N272" i="3" s="1"/>
  <c r="V272" i="3"/>
  <c r="A273" i="3"/>
  <c r="B273" i="3" s="1"/>
  <c r="W272" i="3" l="1"/>
  <c r="Z273" i="3"/>
  <c r="AC273" i="3"/>
  <c r="AD273" i="3"/>
  <c r="AA273" i="3"/>
  <c r="P273" i="3"/>
  <c r="Q273" i="3" s="1"/>
  <c r="R273" i="3" s="1"/>
  <c r="S273" i="3" s="1"/>
  <c r="L272" i="3"/>
  <c r="T273" i="3" l="1"/>
  <c r="AG273" i="3" s="1"/>
  <c r="U272" i="3"/>
  <c r="Y271" i="3"/>
  <c r="D273" i="3" l="1"/>
  <c r="G273" i="3" s="1"/>
  <c r="AH273" i="3"/>
  <c r="E273" i="3"/>
  <c r="H273" i="3" s="1"/>
  <c r="K273" i="3" s="1"/>
  <c r="AE273" i="3" s="1"/>
  <c r="F273" i="3" l="1"/>
  <c r="V273" i="3"/>
  <c r="A274" i="3"/>
  <c r="B274" i="3" s="1"/>
  <c r="I273" i="3"/>
  <c r="J273" i="3"/>
  <c r="M273" i="3"/>
  <c r="N273" i="3" s="1"/>
  <c r="L273" i="3" l="1"/>
  <c r="AA274" i="3"/>
  <c r="P274" i="3"/>
  <c r="Q274" i="3" s="1"/>
  <c r="R274" i="3" s="1"/>
  <c r="S274" i="3" s="1"/>
  <c r="AD274" i="3"/>
  <c r="Z274" i="3"/>
  <c r="AC274" i="3"/>
  <c r="W273" i="3"/>
  <c r="T274" i="3" l="1"/>
  <c r="AG274" i="3" s="1"/>
  <c r="U273" i="3"/>
  <c r="Y272" i="3"/>
  <c r="E274" i="3" l="1"/>
  <c r="H274" i="3" s="1"/>
  <c r="K274" i="3" s="1"/>
  <c r="AE274" i="3" s="1"/>
  <c r="D274" i="3"/>
  <c r="G274" i="3" s="1"/>
  <c r="AH274" i="3"/>
  <c r="F274" i="3" l="1"/>
  <c r="I274" i="3"/>
  <c r="J274" i="3"/>
  <c r="M274" i="3"/>
  <c r="N274" i="3" s="1"/>
  <c r="V274" i="3"/>
  <c r="A275" i="3"/>
  <c r="B275" i="3" s="1"/>
  <c r="W274" i="3" l="1"/>
  <c r="AA275" i="3"/>
  <c r="P275" i="3"/>
  <c r="Q275" i="3" s="1"/>
  <c r="R275" i="3" s="1"/>
  <c r="S275" i="3" s="1"/>
  <c r="AC275" i="3"/>
  <c r="Z275" i="3"/>
  <c r="AD275" i="3"/>
  <c r="L274" i="3"/>
  <c r="U274" i="3" l="1"/>
  <c r="Y273" i="3"/>
  <c r="T275" i="3"/>
  <c r="AH275" i="3" s="1"/>
  <c r="E275" i="3" l="1"/>
  <c r="H275" i="3" s="1"/>
  <c r="AG275" i="3"/>
  <c r="D275" i="3"/>
  <c r="F275" i="3" l="1"/>
  <c r="G275" i="3"/>
  <c r="K275" i="3"/>
  <c r="AE275" i="3" s="1"/>
  <c r="V275" i="3" l="1"/>
  <c r="A276" i="3"/>
  <c r="B276" i="3" s="1"/>
  <c r="I275" i="3"/>
  <c r="J275" i="3"/>
  <c r="M275" i="3"/>
  <c r="N275" i="3" s="1"/>
  <c r="L275" i="3" l="1"/>
  <c r="P276" i="3"/>
  <c r="Q276" i="3" s="1"/>
  <c r="R276" i="3" s="1"/>
  <c r="S276" i="3" s="1"/>
  <c r="AA276" i="3"/>
  <c r="Z276" i="3"/>
  <c r="AD276" i="3"/>
  <c r="AC276" i="3"/>
  <c r="W275" i="3"/>
  <c r="T276" i="3" l="1"/>
  <c r="AG276" i="3" s="1"/>
  <c r="U275" i="3"/>
  <c r="Y274" i="3"/>
  <c r="E276" i="3" l="1"/>
  <c r="H276" i="3" s="1"/>
  <c r="K276" i="3" s="1"/>
  <c r="AE276" i="3" s="1"/>
  <c r="AH276" i="3"/>
  <c r="D276" i="3"/>
  <c r="F276" i="3" l="1"/>
  <c r="G276" i="3"/>
  <c r="I276" i="3" s="1"/>
  <c r="V276" i="3"/>
  <c r="A277" i="3"/>
  <c r="B277" i="3" s="1"/>
  <c r="J276" i="3" l="1"/>
  <c r="L276" i="3" s="1"/>
  <c r="W276" i="3"/>
  <c r="M276" i="3"/>
  <c r="N276" i="3" s="1"/>
  <c r="AA277" i="3"/>
  <c r="P277" i="3"/>
  <c r="Q277" i="3" s="1"/>
  <c r="R277" i="3" s="1"/>
  <c r="S277" i="3" s="1"/>
  <c r="Z277" i="3"/>
  <c r="AC277" i="3"/>
  <c r="AD277" i="3"/>
  <c r="T277" i="3" l="1"/>
  <c r="AH277" i="3" s="1"/>
  <c r="U276" i="3"/>
  <c r="Y275" i="3"/>
  <c r="AG277" i="3" l="1"/>
  <c r="D277" i="3"/>
  <c r="G277" i="3" s="1"/>
  <c r="E277" i="3"/>
  <c r="H277" i="3" s="1"/>
  <c r="K277" i="3" s="1"/>
  <c r="AE277" i="3" s="1"/>
  <c r="F277" i="3" l="1"/>
  <c r="V277" i="3"/>
  <c r="A278" i="3"/>
  <c r="B278" i="3" s="1"/>
  <c r="I277" i="3"/>
  <c r="J277" i="3"/>
  <c r="M277" i="3"/>
  <c r="N277" i="3" s="1"/>
  <c r="AA278" i="3" l="1"/>
  <c r="AD278" i="3"/>
  <c r="P278" i="3"/>
  <c r="Q278" i="3" s="1"/>
  <c r="R278" i="3" s="1"/>
  <c r="S278" i="3" s="1"/>
  <c r="AC278" i="3"/>
  <c r="Z278" i="3"/>
  <c r="L277" i="3"/>
  <c r="W277" i="3"/>
  <c r="U277" i="3" l="1"/>
  <c r="Y276" i="3"/>
  <c r="T278" i="3"/>
  <c r="AH278" i="3" s="1"/>
  <c r="E278" i="3" l="1"/>
  <c r="H278" i="3" s="1"/>
  <c r="K278" i="3" s="1"/>
  <c r="AE278" i="3" s="1"/>
  <c r="D278" i="3"/>
  <c r="AG278" i="3"/>
  <c r="F278" i="3" l="1"/>
  <c r="G278" i="3"/>
  <c r="I278" i="3" s="1"/>
  <c r="V278" i="3"/>
  <c r="A279" i="3"/>
  <c r="B279" i="3" s="1"/>
  <c r="M278" i="3" l="1"/>
  <c r="N278" i="3" s="1"/>
  <c r="J278" i="3"/>
  <c r="L278" i="3" s="1"/>
  <c r="W278" i="3"/>
  <c r="AA279" i="3"/>
  <c r="AC279" i="3"/>
  <c r="Z279" i="3"/>
  <c r="AD279" i="3"/>
  <c r="P279" i="3"/>
  <c r="Q279" i="3" s="1"/>
  <c r="R279" i="3" s="1"/>
  <c r="S279" i="3" s="1"/>
  <c r="T279" i="3" l="1"/>
  <c r="AG279" i="3" s="1"/>
  <c r="U278" i="3"/>
  <c r="Y277" i="3"/>
  <c r="D279" i="3" l="1"/>
  <c r="G279" i="3" s="1"/>
  <c r="AH279" i="3"/>
  <c r="E279" i="3"/>
  <c r="H279" i="3" s="1"/>
  <c r="K279" i="3" s="1"/>
  <c r="AE279" i="3" s="1"/>
  <c r="F279" i="3" l="1"/>
  <c r="V279" i="3"/>
  <c r="A280" i="3"/>
  <c r="B280" i="3" s="1"/>
  <c r="I279" i="3"/>
  <c r="J279" i="3"/>
  <c r="M279" i="3"/>
  <c r="N279" i="3" s="1"/>
  <c r="P280" i="3" l="1"/>
  <c r="Q280" i="3" s="1"/>
  <c r="R280" i="3" s="1"/>
  <c r="S280" i="3" s="1"/>
  <c r="AD280" i="3"/>
  <c r="AC280" i="3"/>
  <c r="AA280" i="3"/>
  <c r="Z280" i="3"/>
  <c r="L279" i="3"/>
  <c r="W279" i="3"/>
  <c r="U279" i="3" l="1"/>
  <c r="Y278" i="3"/>
  <c r="T280" i="3"/>
  <c r="D280" i="3" l="1"/>
  <c r="G280" i="3" s="1"/>
  <c r="E280" i="3"/>
  <c r="H280" i="3" s="1"/>
  <c r="K280" i="3" s="1"/>
  <c r="AE280" i="3" s="1"/>
  <c r="AG280" i="3"/>
  <c r="AH280" i="3"/>
  <c r="F280" i="3" l="1"/>
  <c r="V280" i="3"/>
  <c r="A281" i="3"/>
  <c r="B281" i="3" s="1"/>
  <c r="I280" i="3"/>
  <c r="J280" i="3"/>
  <c r="M280" i="3"/>
  <c r="N280" i="3" s="1"/>
  <c r="P281" i="3" l="1"/>
  <c r="Q281" i="3" s="1"/>
  <c r="R281" i="3" s="1"/>
  <c r="S281" i="3" s="1"/>
  <c r="AA281" i="3"/>
  <c r="Z281" i="3"/>
  <c r="AC281" i="3"/>
  <c r="AD281" i="3"/>
  <c r="L280" i="3"/>
  <c r="W280" i="3"/>
  <c r="U280" i="3" l="1"/>
  <c r="Y279" i="3"/>
  <c r="T281" i="3"/>
  <c r="AH281" i="3" s="1"/>
  <c r="E281" i="3" l="1"/>
  <c r="H281" i="3" s="1"/>
  <c r="K281" i="3" s="1"/>
  <c r="AE281" i="3" s="1"/>
  <c r="D281" i="3"/>
  <c r="G281" i="3" s="1"/>
  <c r="AG281" i="3"/>
  <c r="F281" i="3" l="1"/>
  <c r="I281" i="3"/>
  <c r="J281" i="3"/>
  <c r="M281" i="3"/>
  <c r="N281" i="3" s="1"/>
  <c r="V281" i="3"/>
  <c r="A282" i="3"/>
  <c r="B282" i="3" s="1"/>
  <c r="W281" i="3" l="1"/>
  <c r="AD282" i="3"/>
  <c r="AA282" i="3"/>
  <c r="Z282" i="3"/>
  <c r="P282" i="3"/>
  <c r="Q282" i="3" s="1"/>
  <c r="R282" i="3" s="1"/>
  <c r="S282" i="3" s="1"/>
  <c r="AC282" i="3"/>
  <c r="L281" i="3"/>
  <c r="T282" i="3" l="1"/>
  <c r="AH282" i="3" s="1"/>
  <c r="U281" i="3"/>
  <c r="Y280" i="3"/>
  <c r="D282" i="3" l="1"/>
  <c r="G282" i="3" s="1"/>
  <c r="AG282" i="3"/>
  <c r="E282" i="3"/>
  <c r="H282" i="3" s="1"/>
  <c r="K282" i="3" s="1"/>
  <c r="AE282" i="3" s="1"/>
  <c r="F282" i="3" l="1"/>
  <c r="V282" i="3"/>
  <c r="A283" i="3"/>
  <c r="B283" i="3" s="1"/>
  <c r="I282" i="3"/>
  <c r="J282" i="3"/>
  <c r="M282" i="3"/>
  <c r="N282" i="3" s="1"/>
  <c r="AC283" i="3" l="1"/>
  <c r="AA283" i="3"/>
  <c r="Z283" i="3"/>
  <c r="AD283" i="3"/>
  <c r="P283" i="3"/>
  <c r="Q283" i="3" s="1"/>
  <c r="R283" i="3" s="1"/>
  <c r="S283" i="3" s="1"/>
  <c r="L282" i="3"/>
  <c r="W282" i="3"/>
  <c r="T283" i="3" l="1"/>
  <c r="U282" i="3"/>
  <c r="Y281" i="3"/>
  <c r="E283" i="3" l="1"/>
  <c r="H283" i="3" s="1"/>
  <c r="K283" i="3" s="1"/>
  <c r="AE283" i="3" s="1"/>
  <c r="AG283" i="3"/>
  <c r="AH283" i="3"/>
  <c r="D283" i="3"/>
  <c r="G283" i="3" s="1"/>
  <c r="F283" i="3" l="1"/>
  <c r="I283" i="3"/>
  <c r="J283" i="3"/>
  <c r="M283" i="3"/>
  <c r="N283" i="3" s="1"/>
  <c r="V283" i="3"/>
  <c r="A284" i="3"/>
  <c r="B284" i="3" s="1"/>
  <c r="W283" i="3" l="1"/>
  <c r="L283" i="3"/>
  <c r="AC284" i="3"/>
  <c r="P284" i="3"/>
  <c r="Q284" i="3" s="1"/>
  <c r="R284" i="3" s="1"/>
  <c r="S284" i="3" s="1"/>
  <c r="AD284" i="3"/>
  <c r="Z284" i="3"/>
  <c r="AA284" i="3"/>
  <c r="T284" i="3" l="1"/>
  <c r="AG284" i="3" s="1"/>
  <c r="U283" i="3"/>
  <c r="Y282" i="3"/>
  <c r="AH284" i="3" l="1"/>
  <c r="E284" i="3"/>
  <c r="H284" i="3" s="1"/>
  <c r="K284" i="3" s="1"/>
  <c r="AE284" i="3" s="1"/>
  <c r="D284" i="3"/>
  <c r="F284" i="3" l="1"/>
  <c r="G284" i="3"/>
  <c r="V284" i="3"/>
  <c r="A285" i="3"/>
  <c r="B285" i="3" s="1"/>
  <c r="P285" i="3" l="1"/>
  <c r="Q285" i="3" s="1"/>
  <c r="R285" i="3" s="1"/>
  <c r="S285" i="3" s="1"/>
  <c r="AA285" i="3"/>
  <c r="AC285" i="3"/>
  <c r="AD285" i="3"/>
  <c r="Z285" i="3"/>
  <c r="I284" i="3"/>
  <c r="W284" i="3" s="1"/>
  <c r="J284" i="3"/>
  <c r="M284" i="3"/>
  <c r="N284" i="3" s="1"/>
  <c r="L284" i="3" l="1"/>
  <c r="T285" i="3"/>
  <c r="U284" i="3" l="1"/>
  <c r="E285" i="3" s="1"/>
  <c r="H285" i="3" s="1"/>
  <c r="AH285" i="3"/>
  <c r="AG285" i="3"/>
  <c r="Y283" i="3"/>
  <c r="D285" i="3" l="1"/>
  <c r="F285" i="3" s="1"/>
  <c r="K285" i="3"/>
  <c r="AE285" i="3" s="1"/>
  <c r="G285" i="3" l="1"/>
  <c r="I285" i="3" s="1"/>
  <c r="V285" i="3"/>
  <c r="A286" i="3"/>
  <c r="B286" i="3" s="1"/>
  <c r="M285" i="3" l="1"/>
  <c r="N285" i="3" s="1"/>
  <c r="J285" i="3"/>
  <c r="L285" i="3" s="1"/>
  <c r="W285" i="3"/>
  <c r="AD286" i="3"/>
  <c r="AC286" i="3"/>
  <c r="Z286" i="3"/>
  <c r="AA286" i="3"/>
  <c r="P286" i="3"/>
  <c r="Q286" i="3" s="1"/>
  <c r="R286" i="3" s="1"/>
  <c r="S286" i="3" s="1"/>
  <c r="T286" i="3" l="1"/>
  <c r="AH286" i="3" s="1"/>
  <c r="U285" i="3"/>
  <c r="Y284" i="3"/>
  <c r="D286" i="3" l="1"/>
  <c r="G286" i="3" s="1"/>
  <c r="AG286" i="3"/>
  <c r="E286" i="3"/>
  <c r="H286" i="3" s="1"/>
  <c r="K286" i="3" l="1"/>
  <c r="AE286" i="3" s="1"/>
  <c r="I286" i="3"/>
  <c r="J286" i="3"/>
  <c r="M286" i="3"/>
  <c r="N286" i="3" s="1"/>
  <c r="F286" i="3"/>
  <c r="L286" i="3" l="1"/>
  <c r="V286" i="3"/>
  <c r="W286" i="3" s="1"/>
  <c r="A287" i="3"/>
  <c r="B287" i="3" s="1"/>
  <c r="AD287" i="3" l="1"/>
  <c r="AA287" i="3"/>
  <c r="Z287" i="3"/>
  <c r="P287" i="3"/>
  <c r="Q287" i="3" s="1"/>
  <c r="R287" i="3" s="1"/>
  <c r="S287" i="3" s="1"/>
  <c r="AC287" i="3"/>
  <c r="U286" i="3"/>
  <c r="Y285" i="3"/>
  <c r="T287" i="3" l="1"/>
  <c r="D287" i="3" s="1"/>
  <c r="E287" i="3" l="1"/>
  <c r="H287" i="3" s="1"/>
  <c r="K287" i="3" s="1"/>
  <c r="AE287" i="3" s="1"/>
  <c r="AG287" i="3"/>
  <c r="AH287" i="3"/>
  <c r="G287" i="3"/>
  <c r="F287" i="3" l="1"/>
  <c r="I287" i="3"/>
  <c r="J287" i="3"/>
  <c r="M287" i="3"/>
  <c r="N287" i="3" s="1"/>
  <c r="V287" i="3"/>
  <c r="A288" i="3"/>
  <c r="B288" i="3" s="1"/>
  <c r="W287" i="3" l="1"/>
  <c r="P288" i="3"/>
  <c r="Q288" i="3" s="1"/>
  <c r="R288" i="3" s="1"/>
  <c r="S288" i="3" s="1"/>
  <c r="Z288" i="3"/>
  <c r="AD288" i="3"/>
  <c r="AA288" i="3"/>
  <c r="AC288" i="3"/>
  <c r="L287" i="3"/>
  <c r="U287" i="3" l="1"/>
  <c r="Y286" i="3"/>
  <c r="T288" i="3"/>
  <c r="AG288" i="3" s="1"/>
  <c r="D288" i="3" l="1"/>
  <c r="G288" i="3" s="1"/>
  <c r="AH288" i="3"/>
  <c r="E288" i="3"/>
  <c r="H288" i="3" s="1"/>
  <c r="K288" i="3" l="1"/>
  <c r="AE288" i="3" s="1"/>
  <c r="I288" i="3"/>
  <c r="J288" i="3"/>
  <c r="M288" i="3"/>
  <c r="N288" i="3" s="1"/>
  <c r="F288" i="3"/>
  <c r="L288" i="3" l="1"/>
  <c r="V288" i="3"/>
  <c r="W288" i="3" s="1"/>
  <c r="A289" i="3"/>
  <c r="B289" i="3" s="1"/>
  <c r="AD289" i="3" l="1"/>
  <c r="P289" i="3"/>
  <c r="Q289" i="3" s="1"/>
  <c r="R289" i="3" s="1"/>
  <c r="S289" i="3" s="1"/>
  <c r="Z289" i="3"/>
  <c r="AA289" i="3"/>
  <c r="AC289" i="3"/>
  <c r="U288" i="3"/>
  <c r="Y287" i="3"/>
  <c r="T289" i="3" l="1"/>
  <c r="E289" i="3" s="1"/>
  <c r="H289" i="3" s="1"/>
  <c r="D289" i="3" l="1"/>
  <c r="F289" i="3" s="1"/>
  <c r="K289" i="3"/>
  <c r="AE289" i="3" s="1"/>
  <c r="AH289" i="3"/>
  <c r="AG289" i="3"/>
  <c r="G289" i="3" l="1"/>
  <c r="I289" i="3" s="1"/>
  <c r="V289" i="3"/>
  <c r="A290" i="3"/>
  <c r="B290" i="3" s="1"/>
  <c r="M289" i="3" l="1"/>
  <c r="N289" i="3" s="1"/>
  <c r="J289" i="3"/>
  <c r="L289" i="3" s="1"/>
  <c r="W289" i="3"/>
  <c r="AA290" i="3"/>
  <c r="AC290" i="3"/>
  <c r="Z290" i="3"/>
  <c r="AD290" i="3"/>
  <c r="P290" i="3"/>
  <c r="Q290" i="3" s="1"/>
  <c r="R290" i="3" s="1"/>
  <c r="S290" i="3" s="1"/>
  <c r="T290" i="3" l="1"/>
  <c r="AH290" i="3" s="1"/>
  <c r="U289" i="3"/>
  <c r="Y288" i="3"/>
  <c r="D290" i="3" l="1"/>
  <c r="G290" i="3" s="1"/>
  <c r="AG290" i="3"/>
  <c r="E290" i="3"/>
  <c r="H290" i="3" s="1"/>
  <c r="K290" i="3" s="1"/>
  <c r="AE290" i="3" s="1"/>
  <c r="F290" i="3" l="1"/>
  <c r="V290" i="3"/>
  <c r="A291" i="3"/>
  <c r="B291" i="3" s="1"/>
  <c r="I290" i="3"/>
  <c r="J290" i="3"/>
  <c r="M290" i="3"/>
  <c r="N290" i="3" s="1"/>
  <c r="L290" i="3" l="1"/>
  <c r="P291" i="3"/>
  <c r="Q291" i="3" s="1"/>
  <c r="R291" i="3" s="1"/>
  <c r="S291" i="3" s="1"/>
  <c r="AD291" i="3"/>
  <c r="Z291" i="3"/>
  <c r="AC291" i="3"/>
  <c r="AA291" i="3"/>
  <c r="W290" i="3"/>
  <c r="T291" i="3" l="1"/>
  <c r="AH291" i="3" s="1"/>
  <c r="U290" i="3"/>
  <c r="Y289" i="3"/>
  <c r="AG291" i="3" l="1"/>
  <c r="D291" i="3"/>
  <c r="G291" i="3" s="1"/>
  <c r="E291" i="3"/>
  <c r="H291" i="3" s="1"/>
  <c r="K291" i="3" s="1"/>
  <c r="AE291" i="3" s="1"/>
  <c r="F291" i="3" l="1"/>
  <c r="V291" i="3"/>
  <c r="A292" i="3"/>
  <c r="B292" i="3" s="1"/>
  <c r="I291" i="3"/>
  <c r="J291" i="3"/>
  <c r="M291" i="3"/>
  <c r="N291" i="3" s="1"/>
  <c r="W291" i="3" l="1"/>
  <c r="Z292" i="3"/>
  <c r="AC292" i="3"/>
  <c r="AD292" i="3"/>
  <c r="AA292" i="3"/>
  <c r="P292" i="3"/>
  <c r="Q292" i="3" s="1"/>
  <c r="R292" i="3" s="1"/>
  <c r="S292" i="3" s="1"/>
  <c r="L291" i="3"/>
  <c r="T292" i="3" l="1"/>
  <c r="AH292" i="3" s="1"/>
  <c r="U291" i="3"/>
  <c r="Y290" i="3"/>
  <c r="D292" i="3" l="1"/>
  <c r="G292" i="3" s="1"/>
  <c r="AG292" i="3"/>
  <c r="E292" i="3"/>
  <c r="H292" i="3" s="1"/>
  <c r="K292" i="3" s="1"/>
  <c r="AE292" i="3" s="1"/>
  <c r="F292" i="3" l="1"/>
  <c r="I292" i="3"/>
  <c r="J292" i="3"/>
  <c r="M292" i="3"/>
  <c r="N292" i="3" s="1"/>
  <c r="V292" i="3"/>
  <c r="A293" i="3"/>
  <c r="B293" i="3" s="1"/>
  <c r="W292" i="3" l="1"/>
  <c r="AD293" i="3"/>
  <c r="P293" i="3"/>
  <c r="Q293" i="3" s="1"/>
  <c r="R293" i="3" s="1"/>
  <c r="S293" i="3" s="1"/>
  <c r="AC293" i="3"/>
  <c r="AA293" i="3"/>
  <c r="Z293" i="3"/>
  <c r="L292" i="3"/>
  <c r="T293" i="3" l="1"/>
  <c r="AG293" i="3" s="1"/>
  <c r="U292" i="3"/>
  <c r="Y291" i="3"/>
  <c r="E293" i="3" l="1"/>
  <c r="H293" i="3" s="1"/>
  <c r="K293" i="3" s="1"/>
  <c r="AE293" i="3" s="1"/>
  <c r="AH293" i="3"/>
  <c r="D293" i="3"/>
  <c r="F293" i="3" l="1"/>
  <c r="G293" i="3"/>
  <c r="J293" i="3" s="1"/>
  <c r="V293" i="3"/>
  <c r="A294" i="3"/>
  <c r="B294" i="3" s="1"/>
  <c r="I293" i="3" l="1"/>
  <c r="W293" i="3" s="1"/>
  <c r="M293" i="3"/>
  <c r="N293" i="3" s="1"/>
  <c r="L293" i="3"/>
  <c r="P294" i="3"/>
  <c r="Q294" i="3" s="1"/>
  <c r="R294" i="3" s="1"/>
  <c r="S294" i="3" s="1"/>
  <c r="AA294" i="3"/>
  <c r="AC294" i="3"/>
  <c r="Z294" i="3"/>
  <c r="AD294" i="3"/>
  <c r="T294" i="3" l="1"/>
  <c r="AH294" i="3" s="1"/>
  <c r="U293" i="3"/>
  <c r="Y292" i="3"/>
  <c r="AG294" i="3" l="1"/>
  <c r="D294" i="3"/>
  <c r="G294" i="3" s="1"/>
  <c r="E294" i="3"/>
  <c r="H294" i="3" s="1"/>
  <c r="K294" i="3" s="1"/>
  <c r="AE294" i="3" s="1"/>
  <c r="F294" i="3" l="1"/>
  <c r="I294" i="3"/>
  <c r="J294" i="3"/>
  <c r="M294" i="3"/>
  <c r="N294" i="3" s="1"/>
  <c r="V294" i="3"/>
  <c r="A295" i="3"/>
  <c r="B295" i="3" s="1"/>
  <c r="W294" i="3" l="1"/>
  <c r="AC295" i="3"/>
  <c r="AA295" i="3"/>
  <c r="AD295" i="3"/>
  <c r="P295" i="3"/>
  <c r="Q295" i="3" s="1"/>
  <c r="R295" i="3" s="1"/>
  <c r="S295" i="3" s="1"/>
  <c r="Z295" i="3"/>
  <c r="L294" i="3"/>
  <c r="T295" i="3" l="1"/>
  <c r="AG295" i="3" s="1"/>
  <c r="U294" i="3"/>
  <c r="Y293" i="3"/>
  <c r="E295" i="3" l="1"/>
  <c r="H295" i="3" s="1"/>
  <c r="K295" i="3" s="1"/>
  <c r="AE295" i="3" s="1"/>
  <c r="AH295" i="3"/>
  <c r="D295" i="3"/>
  <c r="F295" i="3" l="1"/>
  <c r="G295" i="3"/>
  <c r="V295" i="3"/>
  <c r="A296" i="3"/>
  <c r="B296" i="3" s="1"/>
  <c r="AC296" i="3" l="1"/>
  <c r="Z296" i="3"/>
  <c r="AD296" i="3"/>
  <c r="AA296" i="3"/>
  <c r="P296" i="3"/>
  <c r="Q296" i="3" s="1"/>
  <c r="R296" i="3" s="1"/>
  <c r="S296" i="3" s="1"/>
  <c r="I295" i="3"/>
  <c r="W295" i="3" s="1"/>
  <c r="J295" i="3"/>
  <c r="M295" i="3"/>
  <c r="N295" i="3" s="1"/>
  <c r="L295" i="3" l="1"/>
  <c r="T296" i="3"/>
  <c r="U295" i="3" l="1"/>
  <c r="D296" i="3" s="1"/>
  <c r="AG296" i="3"/>
  <c r="AH296" i="3"/>
  <c r="Y294" i="3"/>
  <c r="E296" i="3" l="1"/>
  <c r="H296" i="3" s="1"/>
  <c r="K296" i="3" s="1"/>
  <c r="AE296" i="3" s="1"/>
  <c r="G296" i="3"/>
  <c r="F296" i="3" l="1"/>
  <c r="V296" i="3"/>
  <c r="A297" i="3"/>
  <c r="B297" i="3" s="1"/>
  <c r="I296" i="3"/>
  <c r="J296" i="3"/>
  <c r="M296" i="3"/>
  <c r="N296" i="3" s="1"/>
  <c r="L296" i="3" l="1"/>
  <c r="P297" i="3"/>
  <c r="Q297" i="3" s="1"/>
  <c r="R297" i="3" s="1"/>
  <c r="S297" i="3" s="1"/>
  <c r="AC297" i="3"/>
  <c r="AD297" i="3"/>
  <c r="AA297" i="3"/>
  <c r="Z297" i="3"/>
  <c r="W296" i="3"/>
  <c r="T297" i="3" l="1"/>
  <c r="AG297" i="3" s="1"/>
  <c r="U296" i="3"/>
  <c r="Y295" i="3"/>
  <c r="AH297" i="3" l="1"/>
  <c r="D297" i="3"/>
  <c r="G297" i="3" s="1"/>
  <c r="E297" i="3"/>
  <c r="H297" i="3" s="1"/>
  <c r="K297" i="3" s="1"/>
  <c r="AE297" i="3" s="1"/>
  <c r="F297" i="3" l="1"/>
  <c r="V297" i="3"/>
  <c r="A298" i="3"/>
  <c r="B298" i="3" s="1"/>
  <c r="I297" i="3"/>
  <c r="J297" i="3"/>
  <c r="M297" i="3"/>
  <c r="N297" i="3" s="1"/>
  <c r="L297" i="3" l="1"/>
  <c r="P298" i="3"/>
  <c r="Q298" i="3" s="1"/>
  <c r="R298" i="3" s="1"/>
  <c r="S298" i="3" s="1"/>
  <c r="AD298" i="3"/>
  <c r="AA298" i="3"/>
  <c r="AC298" i="3"/>
  <c r="Z298" i="3"/>
  <c r="W297" i="3"/>
  <c r="T298" i="3" l="1"/>
  <c r="AH298" i="3" s="1"/>
  <c r="U297" i="3"/>
  <c r="Y296" i="3"/>
  <c r="AG298" i="3" l="1"/>
  <c r="D298" i="3"/>
  <c r="G298" i="3" s="1"/>
  <c r="E298" i="3"/>
  <c r="H298" i="3" s="1"/>
  <c r="I298" i="3" l="1"/>
  <c r="J298" i="3"/>
  <c r="M298" i="3"/>
  <c r="N298" i="3" s="1"/>
  <c r="K298" i="3"/>
  <c r="AE298" i="3" s="1"/>
  <c r="F298" i="3"/>
  <c r="V298" i="3" l="1"/>
  <c r="W298" i="3" s="1"/>
  <c r="A299" i="3"/>
  <c r="B299" i="3" s="1"/>
  <c r="L298" i="3"/>
  <c r="U298" i="3" l="1"/>
  <c r="Y297" i="3"/>
  <c r="AC299" i="3"/>
  <c r="Z299" i="3"/>
  <c r="AD299" i="3"/>
  <c r="AA299" i="3"/>
  <c r="P299" i="3"/>
  <c r="Q299" i="3" s="1"/>
  <c r="R299" i="3" s="1"/>
  <c r="S299" i="3" s="1"/>
  <c r="T299" i="3" l="1"/>
  <c r="E299" i="3" s="1"/>
  <c r="H299" i="3" s="1"/>
  <c r="D299" i="3" l="1"/>
  <c r="F299" i="3" s="1"/>
  <c r="AH299" i="3"/>
  <c r="AG299" i="3"/>
  <c r="K299" i="3"/>
  <c r="AE299" i="3" s="1"/>
  <c r="G299" i="3" l="1"/>
  <c r="I299" i="3" s="1"/>
  <c r="V299" i="3"/>
  <c r="A300" i="3"/>
  <c r="B300" i="3" s="1"/>
  <c r="J299" i="3" l="1"/>
  <c r="L299" i="3" s="1"/>
  <c r="M299" i="3"/>
  <c r="N299" i="3" s="1"/>
  <c r="P300" i="3"/>
  <c r="Q300" i="3" s="1"/>
  <c r="R300" i="3" s="1"/>
  <c r="S300" i="3" s="1"/>
  <c r="AC300" i="3"/>
  <c r="Z300" i="3"/>
  <c r="AD300" i="3"/>
  <c r="AA300" i="3"/>
  <c r="W299" i="3"/>
  <c r="T300" i="3" l="1"/>
  <c r="U299" i="3"/>
  <c r="Y298" i="3"/>
  <c r="E300" i="3" l="1"/>
  <c r="H300" i="3" s="1"/>
  <c r="K300" i="3" s="1"/>
  <c r="AE300" i="3" s="1"/>
  <c r="AH300" i="3"/>
  <c r="AG300" i="3"/>
  <c r="D300" i="3"/>
  <c r="F300" i="3" l="1"/>
  <c r="G300" i="3"/>
  <c r="V300" i="3"/>
  <c r="A301" i="3"/>
  <c r="B301" i="3" s="1"/>
  <c r="Z301" i="3" l="1"/>
  <c r="AD301" i="3"/>
  <c r="AA301" i="3"/>
  <c r="AC301" i="3"/>
  <c r="P301" i="3"/>
  <c r="Q301" i="3" s="1"/>
  <c r="R301" i="3" s="1"/>
  <c r="S301" i="3" s="1"/>
  <c r="I300" i="3"/>
  <c r="W300" i="3" s="1"/>
  <c r="J300" i="3"/>
  <c r="M300" i="3"/>
  <c r="N300" i="3" s="1"/>
  <c r="L300" i="3" l="1"/>
  <c r="T301" i="3"/>
  <c r="U300" i="3" l="1"/>
  <c r="D301" i="3" s="1"/>
  <c r="AG301" i="3"/>
  <c r="AH301" i="3"/>
  <c r="Y299" i="3"/>
  <c r="E301" i="3" l="1"/>
  <c r="H301" i="3" s="1"/>
  <c r="K301" i="3" s="1"/>
  <c r="AE301" i="3" s="1"/>
  <c r="G301" i="3"/>
  <c r="F301" i="3" l="1"/>
  <c r="V301" i="3"/>
  <c r="A302" i="3"/>
  <c r="B302" i="3" s="1"/>
  <c r="I301" i="3"/>
  <c r="J301" i="3"/>
  <c r="M301" i="3"/>
  <c r="N301" i="3" s="1"/>
  <c r="Z302" i="3" l="1"/>
  <c r="P302" i="3"/>
  <c r="Q302" i="3" s="1"/>
  <c r="R302" i="3" s="1"/>
  <c r="S302" i="3" s="1"/>
  <c r="AD302" i="3"/>
  <c r="AA302" i="3"/>
  <c r="AC302" i="3"/>
  <c r="L301" i="3"/>
  <c r="W301" i="3"/>
  <c r="T302" i="3" l="1"/>
  <c r="U301" i="3"/>
  <c r="Y300" i="3"/>
  <c r="D302" i="3" l="1"/>
  <c r="AG302" i="3"/>
  <c r="E302" i="3"/>
  <c r="H302" i="3" s="1"/>
  <c r="K302" i="3" s="1"/>
  <c r="AE302" i="3" s="1"/>
  <c r="AH302" i="3"/>
  <c r="F302" i="3" l="1"/>
  <c r="G302" i="3"/>
  <c r="I302" i="3" s="1"/>
  <c r="V302" i="3"/>
  <c r="A303" i="3"/>
  <c r="B303" i="3" s="1"/>
  <c r="M302" i="3" l="1"/>
  <c r="N302" i="3" s="1"/>
  <c r="J302" i="3"/>
  <c r="L302" i="3" s="1"/>
  <c r="P303" i="3"/>
  <c r="Q303" i="3" s="1"/>
  <c r="R303" i="3" s="1"/>
  <c r="S303" i="3" s="1"/>
  <c r="AD303" i="3"/>
  <c r="Z303" i="3"/>
  <c r="AA303" i="3"/>
  <c r="AC303" i="3"/>
  <c r="W302" i="3"/>
  <c r="U302" i="3" l="1"/>
  <c r="Y301" i="3"/>
  <c r="T303" i="3"/>
  <c r="D303" i="3" l="1"/>
  <c r="G303" i="3" s="1"/>
  <c r="AG303" i="3"/>
  <c r="AH303" i="3"/>
  <c r="E303" i="3"/>
  <c r="H303" i="3" s="1"/>
  <c r="K303" i="3" l="1"/>
  <c r="AE303" i="3" s="1"/>
  <c r="I303" i="3"/>
  <c r="J303" i="3"/>
  <c r="M303" i="3"/>
  <c r="N303" i="3" s="1"/>
  <c r="F303" i="3"/>
  <c r="L303" i="3" l="1"/>
  <c r="V303" i="3"/>
  <c r="W303" i="3" s="1"/>
  <c r="A304" i="3"/>
  <c r="B304" i="3" s="1"/>
  <c r="AA304" i="3" l="1"/>
  <c r="Z304" i="3"/>
  <c r="AC304" i="3"/>
  <c r="P304" i="3"/>
  <c r="Q304" i="3" s="1"/>
  <c r="R304" i="3" s="1"/>
  <c r="S304" i="3" s="1"/>
  <c r="U303" i="3"/>
  <c r="Y302" i="3"/>
  <c r="T304" i="3" l="1"/>
  <c r="AH304" i="3" s="1"/>
  <c r="D304" i="3" l="1"/>
  <c r="G304" i="3" s="1"/>
  <c r="AG304" i="3"/>
  <c r="E304" i="3"/>
  <c r="H304" i="3" s="1"/>
  <c r="K304" i="3" s="1"/>
  <c r="AE304" i="3" s="1"/>
  <c r="F304" i="3" l="1"/>
  <c r="I304" i="3"/>
  <c r="J304" i="3"/>
  <c r="AD304" i="3" s="1"/>
  <c r="M304" i="3"/>
  <c r="N304" i="3" s="1"/>
  <c r="V304" i="3"/>
  <c r="A305" i="3"/>
  <c r="B305" i="3" s="1"/>
  <c r="W304" i="3" l="1"/>
  <c r="AA305" i="3"/>
  <c r="P305" i="3"/>
  <c r="Q305" i="3" s="1"/>
  <c r="R305" i="3" s="1"/>
  <c r="S305" i="3" s="1"/>
  <c r="Z305" i="3"/>
  <c r="AD305" i="3"/>
  <c r="AC305" i="3"/>
  <c r="L304" i="3"/>
  <c r="T305" i="3" l="1"/>
  <c r="AG305" i="3" s="1"/>
  <c r="U304" i="3"/>
  <c r="Y303" i="3"/>
  <c r="D305" i="3" l="1"/>
  <c r="G305" i="3" s="1"/>
  <c r="AH305" i="3"/>
  <c r="E305" i="3"/>
  <c r="H305" i="3" s="1"/>
  <c r="K305" i="3" l="1"/>
  <c r="AE305" i="3" s="1"/>
  <c r="I305" i="3"/>
  <c r="J305" i="3"/>
  <c r="M305" i="3"/>
  <c r="N305" i="3" s="1"/>
  <c r="F305" i="3"/>
  <c r="L305" i="3" l="1"/>
  <c r="V305" i="3"/>
  <c r="W305" i="3" s="1"/>
  <c r="A306" i="3"/>
  <c r="B306" i="3" s="1"/>
  <c r="P306" i="3" l="1"/>
  <c r="Q306" i="3" s="1"/>
  <c r="R306" i="3" s="1"/>
  <c r="S306" i="3" s="1"/>
  <c r="AD306" i="3"/>
  <c r="AA306" i="3"/>
  <c r="Z306" i="3"/>
  <c r="AC306" i="3"/>
  <c r="U305" i="3"/>
  <c r="Y304" i="3"/>
  <c r="T306" i="3" l="1"/>
  <c r="E306" i="3" s="1"/>
  <c r="H306" i="3" s="1"/>
  <c r="AG306" i="3" l="1"/>
  <c r="D306" i="3"/>
  <c r="F306" i="3" s="1"/>
  <c r="AH306" i="3"/>
  <c r="K306" i="3"/>
  <c r="AE306" i="3" s="1"/>
  <c r="G306" i="3" l="1"/>
  <c r="I306" i="3" s="1"/>
  <c r="V306" i="3"/>
  <c r="A307" i="3"/>
  <c r="B307" i="3" s="1"/>
  <c r="M306" i="3" l="1"/>
  <c r="N306" i="3" s="1"/>
  <c r="J306" i="3"/>
  <c r="L306" i="3" s="1"/>
  <c r="AC307" i="3"/>
  <c r="P307" i="3"/>
  <c r="Q307" i="3" s="1"/>
  <c r="R307" i="3" s="1"/>
  <c r="S307" i="3" s="1"/>
  <c r="AD307" i="3"/>
  <c r="AA307" i="3"/>
  <c r="Z307" i="3"/>
  <c r="W306" i="3"/>
  <c r="T307" i="3" l="1"/>
  <c r="AG307" i="3" s="1"/>
  <c r="U306" i="3"/>
  <c r="Y305" i="3"/>
  <c r="D307" i="3" l="1"/>
  <c r="G307" i="3" s="1"/>
  <c r="AH307" i="3"/>
  <c r="E307" i="3"/>
  <c r="H307" i="3" s="1"/>
  <c r="K307" i="3" s="1"/>
  <c r="AE307" i="3" s="1"/>
  <c r="F307" i="3" l="1"/>
  <c r="V307" i="3"/>
  <c r="A308" i="3"/>
  <c r="B308" i="3" s="1"/>
  <c r="I307" i="3"/>
  <c r="J307" i="3"/>
  <c r="M307" i="3"/>
  <c r="N307" i="3" s="1"/>
  <c r="L307" i="3" l="1"/>
  <c r="Z308" i="3"/>
  <c r="AD308" i="3"/>
  <c r="AA308" i="3"/>
  <c r="AC308" i="3"/>
  <c r="P308" i="3"/>
  <c r="Q308" i="3" s="1"/>
  <c r="R308" i="3" s="1"/>
  <c r="S308" i="3" s="1"/>
  <c r="W307" i="3"/>
  <c r="T308" i="3" l="1"/>
  <c r="AH308" i="3" s="1"/>
  <c r="U307" i="3"/>
  <c r="Y306" i="3"/>
  <c r="AG308" i="3" l="1"/>
  <c r="E308" i="3"/>
  <c r="H308" i="3" s="1"/>
  <c r="K308" i="3" s="1"/>
  <c r="AE308" i="3" s="1"/>
  <c r="D308" i="3"/>
  <c r="G308" i="3" s="1"/>
  <c r="F308" i="3" l="1"/>
  <c r="I308" i="3"/>
  <c r="J308" i="3"/>
  <c r="M308" i="3"/>
  <c r="N308" i="3" s="1"/>
  <c r="V308" i="3"/>
  <c r="A309" i="3"/>
  <c r="B309" i="3" s="1"/>
  <c r="W308" i="3" l="1"/>
  <c r="P309" i="3"/>
  <c r="Q309" i="3" s="1"/>
  <c r="R309" i="3" s="1"/>
  <c r="S309" i="3" s="1"/>
  <c r="Z309" i="3"/>
  <c r="AC309" i="3"/>
  <c r="AD309" i="3"/>
  <c r="AA309" i="3"/>
  <c r="L308" i="3"/>
  <c r="T309" i="3" l="1"/>
  <c r="AG309" i="3" s="1"/>
  <c r="U308" i="3"/>
  <c r="Y307" i="3"/>
  <c r="E309" i="3" l="1"/>
  <c r="H309" i="3" s="1"/>
  <c r="K309" i="3" s="1"/>
  <c r="AE309" i="3" s="1"/>
  <c r="AH309" i="3"/>
  <c r="D309" i="3"/>
  <c r="V309" i="3" l="1"/>
  <c r="A310" i="3"/>
  <c r="B310" i="3" s="1"/>
  <c r="F309" i="3"/>
  <c r="G309" i="3"/>
  <c r="I309" i="3" l="1"/>
  <c r="W309" i="3" s="1"/>
  <c r="J309" i="3"/>
  <c r="M309" i="3"/>
  <c r="N309" i="3" s="1"/>
  <c r="P310" i="3"/>
  <c r="Q310" i="3" s="1"/>
  <c r="R310" i="3" s="1"/>
  <c r="S310" i="3" s="1"/>
  <c r="AA310" i="3"/>
  <c r="Z310" i="3"/>
  <c r="AC310" i="3"/>
  <c r="AD310" i="3"/>
  <c r="L309" i="3" l="1"/>
  <c r="T310" i="3"/>
  <c r="AH310" i="3" l="1"/>
  <c r="U309" i="3"/>
  <c r="D310" i="3" s="1"/>
  <c r="AG310" i="3"/>
  <c r="Y308" i="3"/>
  <c r="E310" i="3" l="1"/>
  <c r="H310" i="3" s="1"/>
  <c r="K310" i="3" s="1"/>
  <c r="AE310" i="3" s="1"/>
  <c r="G310" i="3"/>
  <c r="F310" i="3" l="1"/>
  <c r="V310" i="3"/>
  <c r="A311" i="3"/>
  <c r="B311" i="3" s="1"/>
  <c r="I310" i="3"/>
  <c r="J310" i="3"/>
  <c r="M310" i="3"/>
  <c r="N310" i="3" s="1"/>
  <c r="L310" i="3" l="1"/>
  <c r="Z311" i="3"/>
  <c r="P311" i="3"/>
  <c r="Q311" i="3" s="1"/>
  <c r="R311" i="3" s="1"/>
  <c r="S311" i="3" s="1"/>
  <c r="AA311" i="3"/>
  <c r="AC311" i="3"/>
  <c r="AD311" i="3"/>
  <c r="W310" i="3"/>
  <c r="T311" i="3" l="1"/>
  <c r="AH311" i="3" s="1"/>
  <c r="U310" i="3"/>
  <c r="Y309" i="3"/>
  <c r="D311" i="3" l="1"/>
  <c r="G311" i="3" s="1"/>
  <c r="AG311" i="3"/>
  <c r="E311" i="3"/>
  <c r="H311" i="3" s="1"/>
  <c r="F311" i="3" l="1"/>
  <c r="I311" i="3"/>
  <c r="J311" i="3"/>
  <c r="M311" i="3"/>
  <c r="N311" i="3" s="1"/>
  <c r="K311" i="3"/>
  <c r="AE311" i="3" s="1"/>
  <c r="V311" i="3" l="1"/>
  <c r="W311" i="3" s="1"/>
  <c r="A312" i="3"/>
  <c r="B312" i="3" s="1"/>
  <c r="L311" i="3"/>
  <c r="U311" i="3" l="1"/>
  <c r="Y310" i="3"/>
  <c r="P312" i="3"/>
  <c r="Q312" i="3" s="1"/>
  <c r="R312" i="3" s="1"/>
  <c r="S312" i="3" s="1"/>
  <c r="AD312" i="3"/>
  <c r="AC312" i="3"/>
  <c r="AA312" i="3"/>
  <c r="Z312" i="3"/>
  <c r="T312" i="3" l="1"/>
  <c r="AG312" i="3" s="1"/>
  <c r="AH312" i="3" l="1"/>
  <c r="E312" i="3"/>
  <c r="H312" i="3" s="1"/>
  <c r="K312" i="3" s="1"/>
  <c r="AE312" i="3" s="1"/>
  <c r="D312" i="3"/>
  <c r="G312" i="3" s="1"/>
  <c r="F312" i="3" l="1"/>
  <c r="V312" i="3"/>
  <c r="A313" i="3"/>
  <c r="B313" i="3" s="1"/>
  <c r="I312" i="3"/>
  <c r="J312" i="3"/>
  <c r="M312" i="3"/>
  <c r="N312" i="3" s="1"/>
  <c r="L312" i="3" l="1"/>
  <c r="AD313" i="3"/>
  <c r="AA313" i="3"/>
  <c r="Z313" i="3"/>
  <c r="AC313" i="3"/>
  <c r="P313" i="3"/>
  <c r="Q313" i="3" s="1"/>
  <c r="R313" i="3" s="1"/>
  <c r="S313" i="3" s="1"/>
  <c r="W312" i="3"/>
  <c r="T313" i="3" l="1"/>
  <c r="AH313" i="3" s="1"/>
  <c r="U312" i="3"/>
  <c r="Y311" i="3"/>
  <c r="AG313" i="3" l="1"/>
  <c r="E313" i="3"/>
  <c r="H313" i="3" s="1"/>
  <c r="K313" i="3" s="1"/>
  <c r="AE313" i="3" s="1"/>
  <c r="D313" i="3"/>
  <c r="F313" i="3" l="1"/>
  <c r="G313" i="3"/>
  <c r="I313" i="3" s="1"/>
  <c r="V313" i="3"/>
  <c r="A314" i="3"/>
  <c r="B314" i="3" s="1"/>
  <c r="J313" i="3" l="1"/>
  <c r="L313" i="3" s="1"/>
  <c r="M313" i="3"/>
  <c r="N313" i="3" s="1"/>
  <c r="W313" i="3"/>
  <c r="AA314" i="3"/>
  <c r="P314" i="3"/>
  <c r="Q314" i="3" s="1"/>
  <c r="R314" i="3" s="1"/>
  <c r="S314" i="3" s="1"/>
  <c r="AC314" i="3"/>
  <c r="Z314" i="3"/>
  <c r="AD314" i="3"/>
  <c r="T314" i="3" l="1"/>
  <c r="AG314" i="3" s="1"/>
  <c r="U313" i="3"/>
  <c r="Y312" i="3"/>
  <c r="AH314" i="3" l="1"/>
  <c r="D314" i="3"/>
  <c r="G314" i="3" s="1"/>
  <c r="E314" i="3"/>
  <c r="H314" i="3" s="1"/>
  <c r="K314" i="3" s="1"/>
  <c r="AE314" i="3" s="1"/>
  <c r="F314" i="3" l="1"/>
  <c r="I314" i="3"/>
  <c r="J314" i="3"/>
  <c r="M314" i="3"/>
  <c r="N314" i="3" s="1"/>
  <c r="V314" i="3"/>
  <c r="A315" i="3"/>
  <c r="B315" i="3" s="1"/>
  <c r="W314" i="3" l="1"/>
  <c r="Z315" i="3"/>
  <c r="P315" i="3"/>
  <c r="Q315" i="3" s="1"/>
  <c r="R315" i="3" s="1"/>
  <c r="S315" i="3" s="1"/>
  <c r="AC315" i="3"/>
  <c r="AD315" i="3"/>
  <c r="AA315" i="3"/>
  <c r="L314" i="3"/>
  <c r="T315" i="3" l="1"/>
  <c r="AG315" i="3" s="1"/>
  <c r="U314" i="3"/>
  <c r="Y313" i="3"/>
  <c r="AH315" i="3" l="1"/>
  <c r="D315" i="3"/>
  <c r="G315" i="3" s="1"/>
  <c r="E315" i="3"/>
  <c r="H315" i="3" s="1"/>
  <c r="K315" i="3" s="1"/>
  <c r="AE315" i="3" s="1"/>
  <c r="F315" i="3" l="1"/>
  <c r="V315" i="3"/>
  <c r="A316" i="3"/>
  <c r="B316" i="3" s="1"/>
  <c r="I315" i="3"/>
  <c r="J315" i="3"/>
  <c r="M315" i="3"/>
  <c r="N315" i="3" s="1"/>
  <c r="L315" i="3" l="1"/>
  <c r="Z316" i="3"/>
  <c r="AC316" i="3"/>
  <c r="P316" i="3"/>
  <c r="Q316" i="3" s="1"/>
  <c r="R316" i="3" s="1"/>
  <c r="S316" i="3" s="1"/>
  <c r="AA316" i="3"/>
  <c r="AD316" i="3"/>
  <c r="W315" i="3"/>
  <c r="T316" i="3" l="1"/>
  <c r="AG316" i="3" s="1"/>
  <c r="U315" i="3"/>
  <c r="Y314" i="3"/>
  <c r="D316" i="3" l="1"/>
  <c r="G316" i="3" s="1"/>
  <c r="AH316" i="3"/>
  <c r="E316" i="3"/>
  <c r="H316" i="3" s="1"/>
  <c r="K316" i="3" s="1"/>
  <c r="AE316" i="3" s="1"/>
  <c r="F316" i="3" l="1"/>
  <c r="V316" i="3"/>
  <c r="A317" i="3"/>
  <c r="B317" i="3" s="1"/>
  <c r="I316" i="3"/>
  <c r="J316" i="3"/>
  <c r="M316" i="3"/>
  <c r="N316" i="3" s="1"/>
  <c r="AD317" i="3" l="1"/>
  <c r="AC317" i="3"/>
  <c r="AA317" i="3"/>
  <c r="P317" i="3"/>
  <c r="Q317" i="3" s="1"/>
  <c r="R317" i="3" s="1"/>
  <c r="S317" i="3" s="1"/>
  <c r="Z317" i="3"/>
  <c r="L316" i="3"/>
  <c r="W316" i="3"/>
  <c r="T317" i="3" l="1"/>
  <c r="AH317" i="3" s="1"/>
  <c r="U316" i="3"/>
  <c r="Y315" i="3"/>
  <c r="E317" i="3" l="1"/>
  <c r="H317" i="3" s="1"/>
  <c r="K317" i="3" s="1"/>
  <c r="AE317" i="3" s="1"/>
  <c r="AG317" i="3"/>
  <c r="D317" i="3"/>
  <c r="F317" i="3" l="1"/>
  <c r="G317" i="3"/>
  <c r="V317" i="3"/>
  <c r="A318" i="3"/>
  <c r="B318" i="3" s="1"/>
  <c r="AA318" i="3" l="1"/>
  <c r="P318" i="3"/>
  <c r="Q318" i="3" s="1"/>
  <c r="R318" i="3" s="1"/>
  <c r="S318" i="3" s="1"/>
  <c r="AD318" i="3"/>
  <c r="Z318" i="3"/>
  <c r="AC318" i="3"/>
  <c r="I317" i="3"/>
  <c r="W317" i="3" s="1"/>
  <c r="J317" i="3"/>
  <c r="M317" i="3"/>
  <c r="N317" i="3" s="1"/>
  <c r="T318" i="3" l="1"/>
  <c r="L317" i="3"/>
  <c r="AH318" i="3" l="1"/>
  <c r="U317" i="3"/>
  <c r="D318" i="3" s="1"/>
  <c r="AG318" i="3"/>
  <c r="Y316" i="3"/>
  <c r="E318" i="3" l="1"/>
  <c r="H318" i="3" s="1"/>
  <c r="K318" i="3" s="1"/>
  <c r="AE318" i="3" s="1"/>
  <c r="G318" i="3"/>
  <c r="F318" i="3" l="1"/>
  <c r="I318" i="3"/>
  <c r="J318" i="3"/>
  <c r="M318" i="3"/>
  <c r="N318" i="3" s="1"/>
  <c r="V318" i="3"/>
  <c r="A319" i="3"/>
  <c r="B319" i="3" s="1"/>
  <c r="W318" i="3" l="1"/>
  <c r="P319" i="3"/>
  <c r="Q319" i="3" s="1"/>
  <c r="R319" i="3" s="1"/>
  <c r="S319" i="3" s="1"/>
  <c r="Z319" i="3"/>
  <c r="AC319" i="3"/>
  <c r="AD319" i="3"/>
  <c r="AA319" i="3"/>
  <c r="L318" i="3"/>
  <c r="U318" i="3" l="1"/>
  <c r="Y317" i="3"/>
  <c r="T319" i="3"/>
  <c r="D319" i="3" l="1"/>
  <c r="G319" i="3" s="1"/>
  <c r="E319" i="3"/>
  <c r="H319" i="3" s="1"/>
  <c r="AG319" i="3"/>
  <c r="AH319" i="3"/>
  <c r="K319" i="3" l="1"/>
  <c r="AE319" i="3" s="1"/>
  <c r="I319" i="3"/>
  <c r="J319" i="3"/>
  <c r="M319" i="3"/>
  <c r="N319" i="3" s="1"/>
  <c r="F319" i="3"/>
  <c r="L319" i="3" l="1"/>
  <c r="V319" i="3"/>
  <c r="W319" i="3" s="1"/>
  <c r="A320" i="3"/>
  <c r="B320" i="3" s="1"/>
  <c r="AD320" i="3" l="1"/>
  <c r="AA320" i="3"/>
  <c r="AC320" i="3"/>
  <c r="Z320" i="3"/>
  <c r="P320" i="3"/>
  <c r="Q320" i="3" s="1"/>
  <c r="R320" i="3" s="1"/>
  <c r="S320" i="3" s="1"/>
  <c r="U319" i="3"/>
  <c r="Y318" i="3"/>
  <c r="T320" i="3" l="1"/>
  <c r="AG320" i="3" s="1"/>
  <c r="AH320" i="3" l="1"/>
  <c r="D320" i="3"/>
  <c r="E320" i="3"/>
  <c r="H320" i="3" s="1"/>
  <c r="K320" i="3" s="1"/>
  <c r="AE320" i="3" s="1"/>
  <c r="F320" i="3" l="1"/>
  <c r="G320" i="3"/>
  <c r="I320" i="3" s="1"/>
  <c r="V320" i="3"/>
  <c r="A321" i="3"/>
  <c r="B321" i="3" s="1"/>
  <c r="J320" i="3" l="1"/>
  <c r="L320" i="3" s="1"/>
  <c r="M320" i="3"/>
  <c r="N320" i="3" s="1"/>
  <c r="W320" i="3"/>
  <c r="AA321" i="3"/>
  <c r="Z321" i="3"/>
  <c r="P321" i="3"/>
  <c r="Q321" i="3" s="1"/>
  <c r="R321" i="3" s="1"/>
  <c r="S321" i="3" s="1"/>
  <c r="AC321" i="3"/>
  <c r="AD321" i="3"/>
  <c r="T321" i="3" l="1"/>
  <c r="AH321" i="3" s="1"/>
  <c r="U320" i="3"/>
  <c r="Y319" i="3"/>
  <c r="E321" i="3" l="1"/>
  <c r="H321" i="3" s="1"/>
  <c r="K321" i="3" s="1"/>
  <c r="AE321" i="3" s="1"/>
  <c r="AG321" i="3"/>
  <c r="D321" i="3"/>
  <c r="F321" i="3" l="1"/>
  <c r="G321" i="3"/>
  <c r="V321" i="3"/>
  <c r="A322" i="3"/>
  <c r="B322" i="3" s="1"/>
  <c r="AC322" i="3" l="1"/>
  <c r="AD322" i="3"/>
  <c r="AA322" i="3"/>
  <c r="Z322" i="3"/>
  <c r="P322" i="3"/>
  <c r="Q322" i="3" s="1"/>
  <c r="R322" i="3" s="1"/>
  <c r="S322" i="3" s="1"/>
  <c r="I321" i="3"/>
  <c r="W321" i="3" s="1"/>
  <c r="J321" i="3"/>
  <c r="M321" i="3"/>
  <c r="N321" i="3" s="1"/>
  <c r="L321" i="3" l="1"/>
  <c r="T322" i="3"/>
  <c r="AG322" i="3" l="1"/>
  <c r="U321" i="3"/>
  <c r="D322" i="3" s="1"/>
  <c r="AH322" i="3"/>
  <c r="Y320" i="3"/>
  <c r="E322" i="3" l="1"/>
  <c r="H322" i="3" s="1"/>
  <c r="K322" i="3" s="1"/>
  <c r="AE322" i="3" s="1"/>
  <c r="G322" i="3"/>
  <c r="F322" i="3" l="1"/>
  <c r="V322" i="3"/>
  <c r="A323" i="3"/>
  <c r="B323" i="3" s="1"/>
  <c r="I322" i="3"/>
  <c r="J322" i="3"/>
  <c r="M322" i="3"/>
  <c r="N322" i="3" s="1"/>
  <c r="AD323" i="3" l="1"/>
  <c r="AC323" i="3"/>
  <c r="P323" i="3"/>
  <c r="Q323" i="3" s="1"/>
  <c r="R323" i="3" s="1"/>
  <c r="S323" i="3" s="1"/>
  <c r="Z323" i="3"/>
  <c r="AA323" i="3"/>
  <c r="L322" i="3"/>
  <c r="W322" i="3"/>
  <c r="T323" i="3" l="1"/>
  <c r="AG323" i="3" s="1"/>
  <c r="U322" i="3"/>
  <c r="Y321" i="3"/>
  <c r="E323" i="3" l="1"/>
  <c r="H323" i="3" s="1"/>
  <c r="K323" i="3" s="1"/>
  <c r="AE323" i="3" s="1"/>
  <c r="AH323" i="3"/>
  <c r="D323" i="3"/>
  <c r="F323" i="3" l="1"/>
  <c r="G323" i="3"/>
  <c r="I323" i="3" s="1"/>
  <c r="V323" i="3"/>
  <c r="A324" i="3"/>
  <c r="B324" i="3" s="1"/>
  <c r="M323" i="3" l="1"/>
  <c r="N323" i="3" s="1"/>
  <c r="J323" i="3"/>
  <c r="L323" i="3" s="1"/>
  <c r="W323" i="3"/>
  <c r="Z324" i="3"/>
  <c r="P324" i="3"/>
  <c r="Q324" i="3" s="1"/>
  <c r="R324" i="3" s="1"/>
  <c r="S324" i="3" s="1"/>
  <c r="AC324" i="3"/>
  <c r="AA324" i="3"/>
  <c r="AD324" i="3"/>
  <c r="U323" i="3" l="1"/>
  <c r="Y322" i="3"/>
  <c r="T324" i="3"/>
  <c r="E324" i="3" l="1"/>
  <c r="H324" i="3" s="1"/>
  <c r="K324" i="3" s="1"/>
  <c r="AE324" i="3" s="1"/>
  <c r="AG324" i="3"/>
  <c r="AH324" i="3"/>
  <c r="D324" i="3"/>
  <c r="F324" i="3" l="1"/>
  <c r="G324" i="3"/>
  <c r="I324" i="3" s="1"/>
  <c r="V324" i="3"/>
  <c r="A325" i="3"/>
  <c r="B325" i="3" s="1"/>
  <c r="M324" i="3" l="1"/>
  <c r="N324" i="3" s="1"/>
  <c r="J324" i="3"/>
  <c r="L324" i="3" s="1"/>
  <c r="W324" i="3"/>
  <c r="AC325" i="3"/>
  <c r="AD325" i="3"/>
  <c r="Z325" i="3"/>
  <c r="P325" i="3"/>
  <c r="Q325" i="3" s="1"/>
  <c r="R325" i="3" s="1"/>
  <c r="S325" i="3" s="1"/>
  <c r="AA325" i="3"/>
  <c r="T325" i="3" l="1"/>
  <c r="AG325" i="3" s="1"/>
  <c r="U324" i="3"/>
  <c r="Y323" i="3"/>
  <c r="AH325" i="3" l="1"/>
  <c r="D325" i="3"/>
  <c r="G325" i="3" s="1"/>
  <c r="E325" i="3"/>
  <c r="H325" i="3" s="1"/>
  <c r="K325" i="3" s="1"/>
  <c r="AE325" i="3" s="1"/>
  <c r="F325" i="3" l="1"/>
  <c r="V325" i="3"/>
  <c r="A326" i="3"/>
  <c r="B326" i="3" s="1"/>
  <c r="I325" i="3"/>
  <c r="J325" i="3"/>
  <c r="M325" i="3"/>
  <c r="N325" i="3" s="1"/>
  <c r="P326" i="3" l="1"/>
  <c r="Q326" i="3" s="1"/>
  <c r="R326" i="3" s="1"/>
  <c r="S326" i="3" s="1"/>
  <c r="AD326" i="3"/>
  <c r="Z326" i="3"/>
  <c r="AA326" i="3"/>
  <c r="AC326" i="3"/>
  <c r="L325" i="3"/>
  <c r="W325" i="3"/>
  <c r="T326" i="3" l="1"/>
  <c r="AH326" i="3" s="1"/>
  <c r="U325" i="3"/>
  <c r="Y324" i="3"/>
  <c r="AG326" i="3" l="1"/>
  <c r="E326" i="3"/>
  <c r="H326" i="3" s="1"/>
  <c r="K326" i="3" s="1"/>
  <c r="AE326" i="3" s="1"/>
  <c r="D326" i="3"/>
  <c r="F326" i="3" l="1"/>
  <c r="G326" i="3"/>
  <c r="I326" i="3" s="1"/>
  <c r="V326" i="3"/>
  <c r="A327" i="3"/>
  <c r="B327" i="3" s="1"/>
  <c r="M326" i="3" l="1"/>
  <c r="N326" i="3" s="1"/>
  <c r="J326" i="3"/>
  <c r="L326" i="3" s="1"/>
  <c r="W326" i="3"/>
  <c r="P327" i="3"/>
  <c r="Q327" i="3" s="1"/>
  <c r="R327" i="3" s="1"/>
  <c r="S327" i="3" s="1"/>
  <c r="AD327" i="3"/>
  <c r="Z327" i="3"/>
  <c r="AA327" i="3"/>
  <c r="AC327" i="3"/>
  <c r="T327" i="3" l="1"/>
  <c r="AH327" i="3" s="1"/>
  <c r="U326" i="3"/>
  <c r="Y325" i="3"/>
  <c r="E327" i="3" l="1"/>
  <c r="H327" i="3" s="1"/>
  <c r="K327" i="3" s="1"/>
  <c r="AE327" i="3" s="1"/>
  <c r="AG327" i="3"/>
  <c r="D327" i="3"/>
  <c r="F327" i="3" l="1"/>
  <c r="G327" i="3"/>
  <c r="V327" i="3"/>
  <c r="A328" i="3"/>
  <c r="B328" i="3" s="1"/>
  <c r="AA328" i="3" l="1"/>
  <c r="AD328" i="3"/>
  <c r="P328" i="3"/>
  <c r="Q328" i="3" s="1"/>
  <c r="R328" i="3" s="1"/>
  <c r="S328" i="3" s="1"/>
  <c r="AC328" i="3"/>
  <c r="Z328" i="3"/>
  <c r="I327" i="3"/>
  <c r="W327" i="3" s="1"/>
  <c r="J327" i="3"/>
  <c r="M327" i="3"/>
  <c r="N327" i="3" s="1"/>
  <c r="L327" i="3" l="1"/>
  <c r="T328" i="3"/>
  <c r="AG328" i="3" l="1"/>
  <c r="AH328" i="3"/>
  <c r="U327" i="3"/>
  <c r="D328" i="3" s="1"/>
  <c r="Y326" i="3"/>
  <c r="E328" i="3" l="1"/>
  <c r="H328" i="3" s="1"/>
  <c r="K328" i="3" s="1"/>
  <c r="AE328" i="3" s="1"/>
  <c r="G328" i="3"/>
  <c r="F328" i="3" l="1"/>
  <c r="V328" i="3"/>
  <c r="A329" i="3"/>
  <c r="B329" i="3" s="1"/>
  <c r="I328" i="3"/>
  <c r="J328" i="3"/>
  <c r="M328" i="3"/>
  <c r="N328" i="3" s="1"/>
  <c r="Z329" i="3" l="1"/>
  <c r="AA329" i="3"/>
  <c r="AD329" i="3"/>
  <c r="P329" i="3"/>
  <c r="Q329" i="3" s="1"/>
  <c r="R329" i="3" s="1"/>
  <c r="S329" i="3" s="1"/>
  <c r="AC329" i="3"/>
  <c r="L328" i="3"/>
  <c r="W328" i="3"/>
  <c r="T329" i="3" l="1"/>
  <c r="AH329" i="3" s="1"/>
  <c r="U328" i="3"/>
  <c r="Y327" i="3"/>
  <c r="D329" i="3" l="1"/>
  <c r="G329" i="3" s="1"/>
  <c r="AG329" i="3"/>
  <c r="E329" i="3"/>
  <c r="H329" i="3" s="1"/>
  <c r="K329" i="3" s="1"/>
  <c r="AE329" i="3" s="1"/>
  <c r="F329" i="3" l="1"/>
  <c r="V329" i="3"/>
  <c r="A330" i="3"/>
  <c r="B330" i="3" s="1"/>
  <c r="I329" i="3"/>
  <c r="J329" i="3"/>
  <c r="M329" i="3"/>
  <c r="N329" i="3" s="1"/>
  <c r="L329" i="3" l="1"/>
  <c r="P330" i="3"/>
  <c r="Q330" i="3" s="1"/>
  <c r="R330" i="3" s="1"/>
  <c r="S330" i="3" s="1"/>
  <c r="AC330" i="3"/>
  <c r="AD330" i="3"/>
  <c r="Z330" i="3"/>
  <c r="AA330" i="3"/>
  <c r="W329" i="3"/>
  <c r="T330" i="3" l="1"/>
  <c r="AG330" i="3" s="1"/>
  <c r="U329" i="3"/>
  <c r="Y328" i="3"/>
  <c r="D330" i="3" l="1"/>
  <c r="G330" i="3" s="1"/>
  <c r="AH330" i="3"/>
  <c r="E330" i="3"/>
  <c r="H330" i="3" s="1"/>
  <c r="K330" i="3" l="1"/>
  <c r="AE330" i="3" s="1"/>
  <c r="I330" i="3"/>
  <c r="J330" i="3"/>
  <c r="M330" i="3"/>
  <c r="N330" i="3" s="1"/>
  <c r="F330" i="3"/>
  <c r="L330" i="3" l="1"/>
  <c r="V330" i="3"/>
  <c r="W330" i="3" s="1"/>
  <c r="A331" i="3"/>
  <c r="B331" i="3" s="1"/>
  <c r="Z331" i="3" l="1"/>
  <c r="P331" i="3"/>
  <c r="Q331" i="3" s="1"/>
  <c r="R331" i="3" s="1"/>
  <c r="S331" i="3" s="1"/>
  <c r="AC331" i="3"/>
  <c r="AA331" i="3"/>
  <c r="AD331" i="3"/>
  <c r="U330" i="3"/>
  <c r="Y329" i="3"/>
  <c r="T331" i="3" l="1"/>
  <c r="E331" i="3" s="1"/>
  <c r="H331" i="3" s="1"/>
  <c r="AH331" i="3" l="1"/>
  <c r="AG331" i="3"/>
  <c r="D331" i="3"/>
  <c r="F331" i="3" s="1"/>
  <c r="K331" i="3"/>
  <c r="AE331" i="3" s="1"/>
  <c r="G331" i="3" l="1"/>
  <c r="I331" i="3" s="1"/>
  <c r="V331" i="3"/>
  <c r="A332" i="3"/>
  <c r="B332" i="3" s="1"/>
  <c r="M331" i="3" l="1"/>
  <c r="N331" i="3" s="1"/>
  <c r="J331" i="3"/>
  <c r="L331" i="3" s="1"/>
  <c r="AC332" i="3"/>
  <c r="AA332" i="3"/>
  <c r="P332" i="3"/>
  <c r="Q332" i="3" s="1"/>
  <c r="R332" i="3" s="1"/>
  <c r="S332" i="3" s="1"/>
  <c r="Z332" i="3"/>
  <c r="AD332" i="3"/>
  <c r="W331" i="3"/>
  <c r="T332" i="3" l="1"/>
  <c r="AH332" i="3" s="1"/>
  <c r="U331" i="3"/>
  <c r="Y330" i="3"/>
  <c r="E332" i="3" l="1"/>
  <c r="H332" i="3" s="1"/>
  <c r="K332" i="3" s="1"/>
  <c r="AE332" i="3" s="1"/>
  <c r="AG332" i="3"/>
  <c r="D332" i="3"/>
  <c r="V332" i="3" l="1"/>
  <c r="A333" i="3"/>
  <c r="B333" i="3" s="1"/>
  <c r="F332" i="3"/>
  <c r="G332" i="3"/>
  <c r="I332" i="3" l="1"/>
  <c r="W332" i="3" s="1"/>
  <c r="J332" i="3"/>
  <c r="M332" i="3"/>
  <c r="N332" i="3" s="1"/>
  <c r="AD333" i="3"/>
  <c r="P333" i="3"/>
  <c r="Q333" i="3" s="1"/>
  <c r="R333" i="3" s="1"/>
  <c r="S333" i="3" s="1"/>
  <c r="AC333" i="3"/>
  <c r="AA333" i="3"/>
  <c r="Z333" i="3"/>
  <c r="T333" i="3" l="1"/>
  <c r="L332" i="3"/>
  <c r="AG333" i="3" l="1"/>
  <c r="U332" i="3"/>
  <c r="E333" i="3" s="1"/>
  <c r="H333" i="3" s="1"/>
  <c r="AH333" i="3"/>
  <c r="Y331" i="3"/>
  <c r="D333" i="3" l="1"/>
  <c r="F333" i="3" s="1"/>
  <c r="K333" i="3"/>
  <c r="AE333" i="3" s="1"/>
  <c r="G333" i="3" l="1"/>
  <c r="I333" i="3" s="1"/>
  <c r="V333" i="3"/>
  <c r="A334" i="3"/>
  <c r="B334" i="3" s="1"/>
  <c r="M333" i="3" l="1"/>
  <c r="N333" i="3" s="1"/>
  <c r="J333" i="3"/>
  <c r="L333" i="3" s="1"/>
  <c r="W333" i="3"/>
  <c r="AD334" i="3"/>
  <c r="Z334" i="3"/>
  <c r="P334" i="3"/>
  <c r="Q334" i="3" s="1"/>
  <c r="R334" i="3" s="1"/>
  <c r="S334" i="3" s="1"/>
  <c r="AC334" i="3"/>
  <c r="AA334" i="3"/>
  <c r="T334" i="3" l="1"/>
  <c r="AH334" i="3" s="1"/>
  <c r="U333" i="3"/>
  <c r="Y332" i="3"/>
  <c r="AG334" i="3" l="1"/>
  <c r="E334" i="3"/>
  <c r="H334" i="3" s="1"/>
  <c r="K334" i="3" s="1"/>
  <c r="AE334" i="3" s="1"/>
  <c r="D334" i="3"/>
  <c r="F334" i="3" l="1"/>
  <c r="G334" i="3"/>
  <c r="I334" i="3" s="1"/>
  <c r="V334" i="3"/>
  <c r="A335" i="3"/>
  <c r="B335" i="3" s="1"/>
  <c r="J334" i="3" l="1"/>
  <c r="L334" i="3" s="1"/>
  <c r="M334" i="3"/>
  <c r="N334" i="3" s="1"/>
  <c r="W334" i="3"/>
  <c r="AD335" i="3"/>
  <c r="Z335" i="3"/>
  <c r="AA335" i="3"/>
  <c r="AC335" i="3"/>
  <c r="P335" i="3"/>
  <c r="Q335" i="3" s="1"/>
  <c r="R335" i="3" s="1"/>
  <c r="S335" i="3" s="1"/>
  <c r="U334" i="3" l="1"/>
  <c r="Y333" i="3"/>
  <c r="T335" i="3"/>
  <c r="AG335" i="3" s="1"/>
  <c r="E335" i="3" l="1"/>
  <c r="H335" i="3" s="1"/>
  <c r="D335" i="3"/>
  <c r="AH335" i="3"/>
  <c r="F335" i="3" l="1"/>
  <c r="G335" i="3"/>
  <c r="K335" i="3"/>
  <c r="AE335" i="3" s="1"/>
  <c r="V335" i="3" l="1"/>
  <c r="A336" i="3"/>
  <c r="B336" i="3" s="1"/>
  <c r="I335" i="3"/>
  <c r="J335" i="3"/>
  <c r="M335" i="3"/>
  <c r="N335" i="3" s="1"/>
  <c r="L335" i="3" l="1"/>
  <c r="Z336" i="3"/>
  <c r="AC336" i="3"/>
  <c r="AA336" i="3"/>
  <c r="P336" i="3"/>
  <c r="Q336" i="3" s="1"/>
  <c r="R336" i="3" s="1"/>
  <c r="S336" i="3" s="1"/>
  <c r="AD336" i="3"/>
  <c r="W335" i="3"/>
  <c r="T336" i="3" l="1"/>
  <c r="AH336" i="3" s="1"/>
  <c r="U335" i="3"/>
  <c r="Y334" i="3"/>
  <c r="E336" i="3" l="1"/>
  <c r="H336" i="3" s="1"/>
  <c r="K336" i="3" s="1"/>
  <c r="AE336" i="3" s="1"/>
  <c r="AG336" i="3"/>
  <c r="D336" i="3"/>
  <c r="G336" i="3" s="1"/>
  <c r="F336" i="3" l="1"/>
  <c r="I336" i="3"/>
  <c r="J336" i="3"/>
  <c r="M336" i="3"/>
  <c r="N336" i="3" s="1"/>
  <c r="V336" i="3"/>
  <c r="A337" i="3"/>
  <c r="B337" i="3" s="1"/>
  <c r="W336" i="3" l="1"/>
  <c r="Z337" i="3"/>
  <c r="P337" i="3"/>
  <c r="Q337" i="3" s="1"/>
  <c r="R337" i="3" s="1"/>
  <c r="S337" i="3" s="1"/>
  <c r="AD337" i="3"/>
  <c r="AC337" i="3"/>
  <c r="AA337" i="3"/>
  <c r="L336" i="3"/>
  <c r="U336" i="3" l="1"/>
  <c r="Y335" i="3"/>
  <c r="T337" i="3"/>
  <c r="D337" i="3" l="1"/>
  <c r="G337" i="3" s="1"/>
  <c r="E337" i="3"/>
  <c r="H337" i="3" s="1"/>
  <c r="AG337" i="3"/>
  <c r="AH337" i="3"/>
  <c r="K337" i="3" l="1"/>
  <c r="AE337" i="3" s="1"/>
  <c r="I337" i="3"/>
  <c r="J337" i="3"/>
  <c r="M337" i="3"/>
  <c r="N337" i="3" s="1"/>
  <c r="F337" i="3"/>
  <c r="L337" i="3" l="1"/>
  <c r="V337" i="3"/>
  <c r="W337" i="3" s="1"/>
  <c r="A338" i="3"/>
  <c r="B338" i="3" s="1"/>
  <c r="Z338" i="3" l="1"/>
  <c r="P338" i="3"/>
  <c r="Q338" i="3" s="1"/>
  <c r="R338" i="3" s="1"/>
  <c r="S338" i="3" s="1"/>
  <c r="AD338" i="3"/>
  <c r="AA338" i="3"/>
  <c r="AC338" i="3"/>
  <c r="U337" i="3"/>
  <c r="Y336" i="3"/>
  <c r="T338" i="3" l="1"/>
  <c r="E338" i="3" s="1"/>
  <c r="H338" i="3" s="1"/>
  <c r="D338" i="3" l="1"/>
  <c r="F338" i="3" s="1"/>
  <c r="AG338" i="3"/>
  <c r="AH338" i="3"/>
  <c r="K338" i="3"/>
  <c r="AE338" i="3" s="1"/>
  <c r="G338" i="3" l="1"/>
  <c r="I338" i="3" s="1"/>
  <c r="V338" i="3"/>
  <c r="A339" i="3"/>
  <c r="B339" i="3" s="1"/>
  <c r="M338" i="3" l="1"/>
  <c r="N338" i="3" s="1"/>
  <c r="J338" i="3"/>
  <c r="L338" i="3" s="1"/>
  <c r="W338" i="3"/>
  <c r="Z339" i="3"/>
  <c r="AD339" i="3"/>
  <c r="P339" i="3"/>
  <c r="Q339" i="3" s="1"/>
  <c r="R339" i="3" s="1"/>
  <c r="S339" i="3" s="1"/>
  <c r="AA339" i="3"/>
  <c r="AC339" i="3"/>
  <c r="T339" i="3" l="1"/>
  <c r="AG339" i="3" s="1"/>
  <c r="U338" i="3"/>
  <c r="Y337" i="3"/>
  <c r="D339" i="3" l="1"/>
  <c r="G339" i="3" s="1"/>
  <c r="AH339" i="3"/>
  <c r="E339" i="3"/>
  <c r="H339" i="3" s="1"/>
  <c r="K339" i="3" s="1"/>
  <c r="AE339" i="3" s="1"/>
  <c r="F339" i="3" l="1"/>
  <c r="I339" i="3"/>
  <c r="J339" i="3"/>
  <c r="M339" i="3"/>
  <c r="N339" i="3" s="1"/>
  <c r="V339" i="3"/>
  <c r="A340" i="3"/>
  <c r="B340" i="3" s="1"/>
  <c r="W339" i="3" l="1"/>
  <c r="AA340" i="3"/>
  <c r="AD340" i="3"/>
  <c r="Z340" i="3"/>
  <c r="P340" i="3"/>
  <c r="Q340" i="3" s="1"/>
  <c r="R340" i="3" s="1"/>
  <c r="S340" i="3" s="1"/>
  <c r="AC340" i="3"/>
  <c r="L339" i="3"/>
  <c r="T340" i="3" l="1"/>
  <c r="AG340" i="3" s="1"/>
  <c r="U339" i="3"/>
  <c r="Y338" i="3"/>
  <c r="AH340" i="3" l="1"/>
  <c r="E340" i="3"/>
  <c r="H340" i="3" s="1"/>
  <c r="K340" i="3" s="1"/>
  <c r="AE340" i="3" s="1"/>
  <c r="D340" i="3"/>
  <c r="F340" i="3" l="1"/>
  <c r="G340" i="3"/>
  <c r="I340" i="3" s="1"/>
  <c r="V340" i="3"/>
  <c r="A341" i="3"/>
  <c r="B341" i="3" s="1"/>
  <c r="M340" i="3" l="1"/>
  <c r="N340" i="3" s="1"/>
  <c r="J340" i="3"/>
  <c r="L340" i="3" s="1"/>
  <c r="AA341" i="3"/>
  <c r="AC341" i="3"/>
  <c r="AD341" i="3"/>
  <c r="Z341" i="3"/>
  <c r="P341" i="3"/>
  <c r="Q341" i="3" s="1"/>
  <c r="R341" i="3" s="1"/>
  <c r="S341" i="3" s="1"/>
  <c r="W340" i="3"/>
  <c r="U340" i="3" l="1"/>
  <c r="Y339" i="3"/>
  <c r="T341" i="3"/>
  <c r="D341" i="3" l="1"/>
  <c r="G341" i="3" s="1"/>
  <c r="E341" i="3"/>
  <c r="H341" i="3" s="1"/>
  <c r="K341" i="3" s="1"/>
  <c r="AE341" i="3" s="1"/>
  <c r="AH341" i="3"/>
  <c r="AG341" i="3"/>
  <c r="F341" i="3" l="1"/>
  <c r="V341" i="3"/>
  <c r="A342" i="3"/>
  <c r="B342" i="3" s="1"/>
  <c r="I341" i="3"/>
  <c r="J341" i="3"/>
  <c r="M341" i="3"/>
  <c r="N341" i="3" s="1"/>
  <c r="L341" i="3" l="1"/>
  <c r="P342" i="3"/>
  <c r="Q342" i="3" s="1"/>
  <c r="R342" i="3" s="1"/>
  <c r="S342" i="3" s="1"/>
  <c r="AA342" i="3"/>
  <c r="AD342" i="3"/>
  <c r="AC342" i="3"/>
  <c r="Z342" i="3"/>
  <c r="W341" i="3"/>
  <c r="T342" i="3" l="1"/>
  <c r="AG342" i="3" s="1"/>
  <c r="U341" i="3"/>
  <c r="Y340" i="3"/>
  <c r="D342" i="3" l="1"/>
  <c r="G342" i="3" s="1"/>
  <c r="AH342" i="3"/>
  <c r="E342" i="3"/>
  <c r="H342" i="3" s="1"/>
  <c r="K342" i="3" s="1"/>
  <c r="AE342" i="3" s="1"/>
  <c r="F342" i="3" l="1"/>
  <c r="V342" i="3"/>
  <c r="A343" i="3"/>
  <c r="B343" i="3" s="1"/>
  <c r="I342" i="3"/>
  <c r="J342" i="3"/>
  <c r="M342" i="3"/>
  <c r="N342" i="3" s="1"/>
  <c r="AD343" i="3" l="1"/>
  <c r="P343" i="3"/>
  <c r="Q343" i="3" s="1"/>
  <c r="R343" i="3" s="1"/>
  <c r="S343" i="3" s="1"/>
  <c r="AA343" i="3"/>
  <c r="Z343" i="3"/>
  <c r="AC343" i="3"/>
  <c r="L342" i="3"/>
  <c r="W342" i="3"/>
  <c r="T343" i="3" l="1"/>
  <c r="AG343" i="3" s="1"/>
  <c r="U342" i="3"/>
  <c r="Y341" i="3"/>
  <c r="D343" i="3" l="1"/>
  <c r="G343" i="3" s="1"/>
  <c r="AH343" i="3"/>
  <c r="E343" i="3"/>
  <c r="H343" i="3" s="1"/>
  <c r="K343" i="3" s="1"/>
  <c r="AE343" i="3" s="1"/>
  <c r="F343" i="3" l="1"/>
  <c r="V343" i="3"/>
  <c r="A344" i="3"/>
  <c r="B344" i="3" s="1"/>
  <c r="I343" i="3"/>
  <c r="J343" i="3"/>
  <c r="M343" i="3"/>
  <c r="N343" i="3" s="1"/>
  <c r="W343" i="3" l="1"/>
  <c r="L343" i="3"/>
  <c r="P344" i="3"/>
  <c r="Q344" i="3" s="1"/>
  <c r="R344" i="3" s="1"/>
  <c r="S344" i="3" s="1"/>
  <c r="AC344" i="3"/>
  <c r="AA344" i="3"/>
  <c r="Z344" i="3"/>
  <c r="AD344" i="3"/>
  <c r="T344" i="3" l="1"/>
  <c r="AH344" i="3" s="1"/>
  <c r="U343" i="3"/>
  <c r="Y342" i="3"/>
  <c r="D344" i="3" l="1"/>
  <c r="G344" i="3" s="1"/>
  <c r="E344" i="3"/>
  <c r="H344" i="3" s="1"/>
  <c r="K344" i="3" s="1"/>
  <c r="AE344" i="3" s="1"/>
  <c r="AG344" i="3"/>
  <c r="F344" i="3" l="1"/>
  <c r="I344" i="3"/>
  <c r="J344" i="3"/>
  <c r="M344" i="3"/>
  <c r="N344" i="3" s="1"/>
  <c r="V344" i="3"/>
  <c r="A345" i="3"/>
  <c r="B345" i="3" s="1"/>
  <c r="W344" i="3" l="1"/>
  <c r="P345" i="3"/>
  <c r="Q345" i="3" s="1"/>
  <c r="R345" i="3" s="1"/>
  <c r="S345" i="3" s="1"/>
  <c r="AC345" i="3"/>
  <c r="AD345" i="3"/>
  <c r="Z345" i="3"/>
  <c r="AA345" i="3"/>
  <c r="L344" i="3"/>
  <c r="U344" i="3" l="1"/>
  <c r="Y343" i="3"/>
  <c r="T345" i="3"/>
  <c r="AG345" i="3" s="1"/>
  <c r="E345" i="3" l="1"/>
  <c r="H345" i="3" s="1"/>
  <c r="K345" i="3" s="1"/>
  <c r="AE345" i="3" s="1"/>
  <c r="D345" i="3"/>
  <c r="G345" i="3" s="1"/>
  <c r="AH345" i="3"/>
  <c r="F345" i="3" l="1"/>
  <c r="I345" i="3"/>
  <c r="J345" i="3"/>
  <c r="M345" i="3"/>
  <c r="N345" i="3" s="1"/>
  <c r="V345" i="3"/>
  <c r="A346" i="3"/>
  <c r="B346" i="3" s="1"/>
  <c r="W345" i="3" l="1"/>
  <c r="Z346" i="3"/>
  <c r="AD346" i="3"/>
  <c r="AA346" i="3"/>
  <c r="AC346" i="3"/>
  <c r="P346" i="3"/>
  <c r="Q346" i="3" s="1"/>
  <c r="R346" i="3" s="1"/>
  <c r="S346" i="3" s="1"/>
  <c r="L345" i="3"/>
  <c r="T346" i="3" l="1"/>
  <c r="AG346" i="3" s="1"/>
  <c r="U345" i="3"/>
  <c r="Y344" i="3"/>
  <c r="E346" i="3" l="1"/>
  <c r="H346" i="3" s="1"/>
  <c r="K346" i="3" s="1"/>
  <c r="AE346" i="3" s="1"/>
  <c r="AH346" i="3"/>
  <c r="D346" i="3"/>
  <c r="G346" i="3" s="1"/>
  <c r="F346" i="3" l="1"/>
  <c r="I346" i="3"/>
  <c r="J346" i="3"/>
  <c r="M346" i="3"/>
  <c r="N346" i="3" s="1"/>
  <c r="V346" i="3"/>
  <c r="A347" i="3"/>
  <c r="B347" i="3" s="1"/>
  <c r="W346" i="3" l="1"/>
  <c r="AD347" i="3"/>
  <c r="P347" i="3"/>
  <c r="Q347" i="3" s="1"/>
  <c r="R347" i="3" s="1"/>
  <c r="S347" i="3" s="1"/>
  <c r="Z347" i="3"/>
  <c r="AC347" i="3"/>
  <c r="AA347" i="3"/>
  <c r="L346" i="3"/>
  <c r="T347" i="3" l="1"/>
  <c r="AH347" i="3" s="1"/>
  <c r="U346" i="3"/>
  <c r="Y345" i="3"/>
  <c r="D347" i="3" l="1"/>
  <c r="E347" i="3"/>
  <c r="H347" i="3" s="1"/>
  <c r="AG347" i="3"/>
  <c r="K347" i="3" l="1"/>
  <c r="AE347" i="3" s="1"/>
  <c r="F347" i="3"/>
  <c r="G347" i="3"/>
  <c r="I347" i="3" l="1"/>
  <c r="J347" i="3"/>
  <c r="M347" i="3"/>
  <c r="N347" i="3" s="1"/>
  <c r="V347" i="3"/>
  <c r="A348" i="3"/>
  <c r="B348" i="3" s="1"/>
  <c r="W347" i="3" l="1"/>
  <c r="AD348" i="3"/>
  <c r="Z348" i="3"/>
  <c r="AC348" i="3"/>
  <c r="AA348" i="3"/>
  <c r="P348" i="3"/>
  <c r="Q348" i="3" s="1"/>
  <c r="R348" i="3" s="1"/>
  <c r="S348" i="3" s="1"/>
  <c r="L347" i="3"/>
  <c r="T348" i="3" l="1"/>
  <c r="AG348" i="3" s="1"/>
  <c r="U347" i="3"/>
  <c r="Y346" i="3"/>
  <c r="D348" i="3" l="1"/>
  <c r="G348" i="3" s="1"/>
  <c r="E348" i="3"/>
  <c r="H348" i="3" s="1"/>
  <c r="K348" i="3" s="1"/>
  <c r="AE348" i="3" s="1"/>
  <c r="AH348" i="3"/>
  <c r="F348" i="3" l="1"/>
  <c r="I348" i="3"/>
  <c r="J348" i="3"/>
  <c r="M348" i="3"/>
  <c r="N348" i="3" s="1"/>
  <c r="V348" i="3"/>
  <c r="A349" i="3"/>
  <c r="B349" i="3" s="1"/>
  <c r="W348" i="3" l="1"/>
  <c r="AA349" i="3"/>
  <c r="P349" i="3"/>
  <c r="Q349" i="3" s="1"/>
  <c r="R349" i="3" s="1"/>
  <c r="S349" i="3" s="1"/>
  <c r="AC349" i="3"/>
  <c r="Z349" i="3"/>
  <c r="AD349" i="3"/>
  <c r="L348" i="3"/>
  <c r="U348" i="3" l="1"/>
  <c r="Y347" i="3"/>
  <c r="T349" i="3"/>
  <c r="AG349" i="3" s="1"/>
  <c r="D349" i="3" l="1"/>
  <c r="AH349" i="3"/>
  <c r="E349" i="3"/>
  <c r="H349" i="3" s="1"/>
  <c r="K349" i="3" l="1"/>
  <c r="AE349" i="3" s="1"/>
  <c r="F349" i="3"/>
  <c r="G349" i="3"/>
  <c r="I349" i="3" l="1"/>
  <c r="J349" i="3"/>
  <c r="M349" i="3"/>
  <c r="N349" i="3" s="1"/>
  <c r="V349" i="3"/>
  <c r="A350" i="3"/>
  <c r="B350" i="3" s="1"/>
  <c r="W349" i="3" l="1"/>
  <c r="P350" i="3"/>
  <c r="Q350" i="3" s="1"/>
  <c r="R350" i="3" s="1"/>
  <c r="S350" i="3" s="1"/>
  <c r="AD350" i="3"/>
  <c r="AA350" i="3"/>
  <c r="AC350" i="3"/>
  <c r="Z350" i="3"/>
  <c r="L349" i="3"/>
  <c r="U349" i="3" l="1"/>
  <c r="Y348" i="3"/>
  <c r="T350" i="3"/>
  <c r="AG350" i="3" s="1"/>
  <c r="E350" i="3" l="1"/>
  <c r="H350" i="3" s="1"/>
  <c r="K350" i="3" s="1"/>
  <c r="AE350" i="3" s="1"/>
  <c r="D350" i="3"/>
  <c r="AH350" i="3"/>
  <c r="F350" i="3" l="1"/>
  <c r="G350" i="3"/>
  <c r="V350" i="3"/>
  <c r="A351" i="3"/>
  <c r="B351" i="3" s="1"/>
  <c r="P351" i="3" l="1"/>
  <c r="Q351" i="3" s="1"/>
  <c r="R351" i="3" s="1"/>
  <c r="S351" i="3" s="1"/>
  <c r="Z351" i="3"/>
  <c r="AC351" i="3"/>
  <c r="AD351" i="3"/>
  <c r="AA351" i="3"/>
  <c r="I350" i="3"/>
  <c r="W350" i="3" s="1"/>
  <c r="J350" i="3"/>
  <c r="M350" i="3"/>
  <c r="N350" i="3" s="1"/>
  <c r="L350" i="3" l="1"/>
  <c r="T351" i="3"/>
  <c r="AH351" i="3" l="1"/>
  <c r="U350" i="3"/>
  <c r="D351" i="3" s="1"/>
  <c r="AG351" i="3"/>
  <c r="Y349" i="3"/>
  <c r="E351" i="3" l="1"/>
  <c r="H351" i="3" s="1"/>
  <c r="K351" i="3" s="1"/>
  <c r="AE351" i="3" s="1"/>
  <c r="G351" i="3"/>
  <c r="F351" i="3" l="1"/>
  <c r="V351" i="3"/>
  <c r="A352" i="3"/>
  <c r="B352" i="3" s="1"/>
  <c r="I351" i="3"/>
  <c r="J351" i="3"/>
  <c r="M351" i="3"/>
  <c r="N351" i="3" s="1"/>
  <c r="L351" i="3" l="1"/>
  <c r="AA352" i="3"/>
  <c r="Z352" i="3"/>
  <c r="P352" i="3"/>
  <c r="Q352" i="3" s="1"/>
  <c r="R352" i="3" s="1"/>
  <c r="S352" i="3" s="1"/>
  <c r="AC352" i="3"/>
  <c r="AD352" i="3"/>
  <c r="W351" i="3"/>
  <c r="T352" i="3" l="1"/>
  <c r="AH352" i="3" s="1"/>
  <c r="U351" i="3"/>
  <c r="Y350" i="3"/>
  <c r="E352" i="3" l="1"/>
  <c r="H352" i="3" s="1"/>
  <c r="K352" i="3" s="1"/>
  <c r="AE352" i="3" s="1"/>
  <c r="AG352" i="3"/>
  <c r="D352" i="3"/>
  <c r="F352" i="3" l="1"/>
  <c r="G352" i="3"/>
  <c r="I352" i="3" s="1"/>
  <c r="V352" i="3"/>
  <c r="A353" i="3"/>
  <c r="B353" i="3" s="1"/>
  <c r="M352" i="3" l="1"/>
  <c r="N352" i="3" s="1"/>
  <c r="J352" i="3"/>
  <c r="L352" i="3" s="1"/>
  <c r="AD353" i="3"/>
  <c r="P353" i="3"/>
  <c r="Q353" i="3" s="1"/>
  <c r="R353" i="3" s="1"/>
  <c r="S353" i="3" s="1"/>
  <c r="Z353" i="3"/>
  <c r="AC353" i="3"/>
  <c r="AA353" i="3"/>
  <c r="W352" i="3"/>
  <c r="T353" i="3" l="1"/>
  <c r="AG353" i="3" s="1"/>
  <c r="U352" i="3"/>
  <c r="Y351" i="3"/>
  <c r="D353" i="3" l="1"/>
  <c r="G353" i="3" s="1"/>
  <c r="AH353" i="3"/>
  <c r="E353" i="3"/>
  <c r="H353" i="3" s="1"/>
  <c r="K353" i="3" s="1"/>
  <c r="AE353" i="3" s="1"/>
  <c r="F353" i="3" l="1"/>
  <c r="V353" i="3"/>
  <c r="A354" i="3"/>
  <c r="B354" i="3" s="1"/>
  <c r="I353" i="3"/>
  <c r="J353" i="3"/>
  <c r="M353" i="3"/>
  <c r="N353" i="3" s="1"/>
  <c r="L353" i="3" l="1"/>
  <c r="Z354" i="3"/>
  <c r="AD354" i="3"/>
  <c r="AC354" i="3"/>
  <c r="AA354" i="3"/>
  <c r="P354" i="3"/>
  <c r="Q354" i="3" s="1"/>
  <c r="R354" i="3" s="1"/>
  <c r="S354" i="3" s="1"/>
  <c r="W353" i="3"/>
  <c r="U353" i="3" l="1"/>
  <c r="Y352" i="3"/>
  <c r="T354" i="3"/>
  <c r="D354" i="3" l="1"/>
  <c r="G354" i="3" s="1"/>
  <c r="AH354" i="3"/>
  <c r="AG354" i="3"/>
  <c r="E354" i="3"/>
  <c r="H354" i="3" s="1"/>
  <c r="K354" i="3" l="1"/>
  <c r="AE354" i="3" s="1"/>
  <c r="I354" i="3"/>
  <c r="J354" i="3"/>
  <c r="M354" i="3"/>
  <c r="N354" i="3" s="1"/>
  <c r="F354" i="3"/>
  <c r="L354" i="3" l="1"/>
  <c r="V354" i="3"/>
  <c r="W354" i="3" s="1"/>
  <c r="A355" i="3"/>
  <c r="B355" i="3" s="1"/>
  <c r="AD355" i="3" l="1"/>
  <c r="AA355" i="3"/>
  <c r="P355" i="3"/>
  <c r="Q355" i="3" s="1"/>
  <c r="R355" i="3" s="1"/>
  <c r="S355" i="3" s="1"/>
  <c r="AC355" i="3"/>
  <c r="Z355" i="3"/>
  <c r="U354" i="3"/>
  <c r="Y353" i="3"/>
  <c r="T355" i="3" l="1"/>
  <c r="E355" i="3" s="1"/>
  <c r="H355" i="3" s="1"/>
  <c r="AG355" i="3" l="1"/>
  <c r="AH355" i="3"/>
  <c r="D355" i="3"/>
  <c r="F355" i="3" s="1"/>
  <c r="K355" i="3"/>
  <c r="AE355" i="3" s="1"/>
  <c r="G355" i="3" l="1"/>
  <c r="M355" i="3" s="1"/>
  <c r="N355" i="3" s="1"/>
  <c r="V355" i="3"/>
  <c r="A356" i="3"/>
  <c r="B356" i="3" s="1"/>
  <c r="J355" i="3" l="1"/>
  <c r="L355" i="3" s="1"/>
  <c r="I355" i="3"/>
  <c r="W355" i="3" s="1"/>
  <c r="AC356" i="3"/>
  <c r="P356" i="3"/>
  <c r="Q356" i="3" s="1"/>
  <c r="R356" i="3" s="1"/>
  <c r="S356" i="3" s="1"/>
  <c r="AA356" i="3"/>
  <c r="AD356" i="3"/>
  <c r="Z356" i="3"/>
  <c r="T356" i="3" l="1"/>
  <c r="AH356" i="3" s="1"/>
  <c r="U355" i="3"/>
  <c r="Y354" i="3"/>
  <c r="AG356" i="3" l="1"/>
  <c r="E356" i="3"/>
  <c r="H356" i="3" s="1"/>
  <c r="K356" i="3" s="1"/>
  <c r="AE356" i="3" s="1"/>
  <c r="D356" i="3"/>
  <c r="F356" i="3" l="1"/>
  <c r="G356" i="3"/>
  <c r="I356" i="3" s="1"/>
  <c r="V356" i="3"/>
  <c r="A357" i="3"/>
  <c r="B357" i="3" s="1"/>
  <c r="M356" i="3" l="1"/>
  <c r="N356" i="3" s="1"/>
  <c r="J356" i="3"/>
  <c r="L356" i="3" s="1"/>
  <c r="AC357" i="3"/>
  <c r="AA357" i="3"/>
  <c r="P357" i="3"/>
  <c r="Q357" i="3" s="1"/>
  <c r="R357" i="3" s="1"/>
  <c r="S357" i="3" s="1"/>
  <c r="AD357" i="3"/>
  <c r="Z357" i="3"/>
  <c r="W356" i="3"/>
  <c r="T357" i="3" l="1"/>
  <c r="AG357" i="3" s="1"/>
  <c r="U356" i="3"/>
  <c r="Y355" i="3"/>
  <c r="AH357" i="3" l="1"/>
  <c r="D357" i="3"/>
  <c r="G357" i="3" s="1"/>
  <c r="E357" i="3"/>
  <c r="H357" i="3" s="1"/>
  <c r="K357" i="3" s="1"/>
  <c r="AE357" i="3" s="1"/>
  <c r="F357" i="3" l="1"/>
  <c r="V357" i="3"/>
  <c r="A358" i="3"/>
  <c r="B358" i="3" s="1"/>
  <c r="I357" i="3"/>
  <c r="J357" i="3"/>
  <c r="M357" i="3"/>
  <c r="N357" i="3" s="1"/>
  <c r="L357" i="3" l="1"/>
  <c r="W357" i="3"/>
  <c r="AC358" i="3"/>
  <c r="Z358" i="3"/>
  <c r="AA358" i="3"/>
  <c r="AD358" i="3"/>
  <c r="P358" i="3"/>
  <c r="Q358" i="3" s="1"/>
  <c r="R358" i="3" s="1"/>
  <c r="S358" i="3" s="1"/>
  <c r="T358" i="3" l="1"/>
  <c r="AG358" i="3" s="1"/>
  <c r="U357" i="3"/>
  <c r="Y356" i="3"/>
  <c r="D358" i="3" l="1"/>
  <c r="G358" i="3" s="1"/>
  <c r="AH358" i="3"/>
  <c r="E358" i="3"/>
  <c r="H358" i="3" s="1"/>
  <c r="K358" i="3" l="1"/>
  <c r="AE358" i="3" s="1"/>
  <c r="I358" i="3"/>
  <c r="J358" i="3"/>
  <c r="M358" i="3"/>
  <c r="N358" i="3" s="1"/>
  <c r="F358" i="3"/>
  <c r="L358" i="3" l="1"/>
  <c r="V358" i="3"/>
  <c r="W358" i="3" s="1"/>
  <c r="A359" i="3"/>
  <c r="B359" i="3" s="1"/>
  <c r="AC359" i="3" l="1"/>
  <c r="AA359" i="3"/>
  <c r="Z359" i="3"/>
  <c r="AD359" i="3"/>
  <c r="P359" i="3"/>
  <c r="Q359" i="3" s="1"/>
  <c r="R359" i="3" s="1"/>
  <c r="S359" i="3" s="1"/>
  <c r="U358" i="3"/>
  <c r="Y357" i="3"/>
  <c r="T359" i="3" l="1"/>
  <c r="D359" i="3" s="1"/>
  <c r="E359" i="3" l="1"/>
  <c r="H359" i="3" s="1"/>
  <c r="K359" i="3" s="1"/>
  <c r="AE359" i="3" s="1"/>
  <c r="AG359" i="3"/>
  <c r="AH359" i="3"/>
  <c r="G359" i="3"/>
  <c r="F359" i="3" l="1"/>
  <c r="I359" i="3"/>
  <c r="J359" i="3"/>
  <c r="M359" i="3"/>
  <c r="N359" i="3" s="1"/>
  <c r="V359" i="3"/>
  <c r="A360" i="3"/>
  <c r="B360" i="3" s="1"/>
  <c r="W359" i="3" l="1"/>
  <c r="Z360" i="3"/>
  <c r="P360" i="3"/>
  <c r="Q360" i="3" s="1"/>
  <c r="R360" i="3" s="1"/>
  <c r="S360" i="3" s="1"/>
  <c r="AC360" i="3"/>
  <c r="AA360" i="3"/>
  <c r="AD360" i="3"/>
  <c r="L359" i="3"/>
  <c r="T360" i="3" l="1"/>
  <c r="AH360" i="3" s="1"/>
  <c r="U359" i="3"/>
  <c r="Y358" i="3"/>
  <c r="D360" i="3" l="1"/>
  <c r="G360" i="3" s="1"/>
  <c r="AG360" i="3"/>
  <c r="E360" i="3"/>
  <c r="H360" i="3" s="1"/>
  <c r="K360" i="3" l="1"/>
  <c r="AE360" i="3" s="1"/>
  <c r="I360" i="3"/>
  <c r="J360" i="3"/>
  <c r="M360" i="3"/>
  <c r="N360" i="3" s="1"/>
  <c r="F360" i="3"/>
  <c r="L360" i="3" l="1"/>
  <c r="V360" i="3"/>
  <c r="W360" i="3" s="1"/>
  <c r="A361" i="3"/>
  <c r="B361" i="3" s="1"/>
  <c r="Z361" i="3" l="1"/>
  <c r="AC361" i="3"/>
  <c r="AD361" i="3"/>
  <c r="P361" i="3"/>
  <c r="Q361" i="3" s="1"/>
  <c r="R361" i="3" s="1"/>
  <c r="S361" i="3" s="1"/>
  <c r="AA361" i="3"/>
  <c r="U360" i="3"/>
  <c r="Y359" i="3"/>
  <c r="T361" i="3" l="1"/>
  <c r="AH361" i="3" s="1"/>
  <c r="AG361" i="3" l="1"/>
  <c r="D361" i="3"/>
  <c r="E361" i="3"/>
  <c r="H361" i="3" s="1"/>
  <c r="K361" i="3" l="1"/>
  <c r="AE361" i="3" s="1"/>
  <c r="F361" i="3"/>
  <c r="G361" i="3"/>
  <c r="I361" i="3" l="1"/>
  <c r="J361" i="3"/>
  <c r="M361" i="3"/>
  <c r="N361" i="3" s="1"/>
  <c r="V361" i="3"/>
  <c r="A362" i="3"/>
  <c r="B362" i="3" s="1"/>
  <c r="W361" i="3" l="1"/>
  <c r="Z362" i="3"/>
  <c r="AD362" i="3"/>
  <c r="AC362" i="3"/>
  <c r="AA362" i="3"/>
  <c r="P362" i="3"/>
  <c r="Q362" i="3" s="1"/>
  <c r="R362" i="3" s="1"/>
  <c r="S362" i="3" s="1"/>
  <c r="L361" i="3"/>
  <c r="T362" i="3" l="1"/>
  <c r="AG362" i="3" s="1"/>
  <c r="U361" i="3"/>
  <c r="Y360" i="3"/>
  <c r="E362" i="3" l="1"/>
  <c r="H362" i="3" s="1"/>
  <c r="K362" i="3" s="1"/>
  <c r="AE362" i="3" s="1"/>
  <c r="AH362" i="3"/>
  <c r="D362" i="3"/>
  <c r="F362" i="3" l="1"/>
  <c r="G362" i="3"/>
  <c r="I362" i="3" s="1"/>
  <c r="V362" i="3"/>
  <c r="A363" i="3"/>
  <c r="B363" i="3" s="1"/>
  <c r="M362" i="3" l="1"/>
  <c r="N362" i="3" s="1"/>
  <c r="J362" i="3"/>
  <c r="L362" i="3" s="1"/>
  <c r="W362" i="3"/>
  <c r="AC363" i="3"/>
  <c r="Z363" i="3"/>
  <c r="P363" i="3"/>
  <c r="Q363" i="3" s="1"/>
  <c r="R363" i="3" s="1"/>
  <c r="S363" i="3" s="1"/>
  <c r="AA363" i="3"/>
  <c r="AD363" i="3"/>
  <c r="U362" i="3" l="1"/>
  <c r="Y361" i="3"/>
  <c r="T363" i="3"/>
  <c r="D363" i="3" l="1"/>
  <c r="G363" i="3" s="1"/>
  <c r="E363" i="3"/>
  <c r="H363" i="3" s="1"/>
  <c r="AH363" i="3"/>
  <c r="AG363" i="3"/>
  <c r="I363" i="3" l="1"/>
  <c r="J363" i="3"/>
  <c r="M363" i="3"/>
  <c r="N363" i="3" s="1"/>
  <c r="K363" i="3"/>
  <c r="AE363" i="3" s="1"/>
  <c r="F363" i="3"/>
  <c r="V363" i="3" l="1"/>
  <c r="W363" i="3" s="1"/>
  <c r="A364" i="3"/>
  <c r="B364" i="3" s="1"/>
  <c r="L363" i="3"/>
  <c r="U363" i="3" l="1"/>
  <c r="Y362" i="3"/>
  <c r="AC364" i="3"/>
  <c r="Z364" i="3"/>
  <c r="AD364" i="3"/>
  <c r="AA364" i="3"/>
  <c r="P364" i="3"/>
  <c r="Q364" i="3" s="1"/>
  <c r="R364" i="3" s="1"/>
  <c r="S364" i="3" s="1"/>
  <c r="T364" i="3" l="1"/>
  <c r="AG364" i="3" s="1"/>
  <c r="D364" i="3" l="1"/>
  <c r="G364" i="3" s="1"/>
  <c r="AH364" i="3"/>
  <c r="E364" i="3"/>
  <c r="H364" i="3" s="1"/>
  <c r="K364" i="3" s="1"/>
  <c r="AE364" i="3" s="1"/>
  <c r="F364" i="3" l="1"/>
  <c r="V364" i="3"/>
  <c r="A365" i="3"/>
  <c r="B365" i="3" s="1"/>
  <c r="I364" i="3"/>
  <c r="J364" i="3"/>
  <c r="M364" i="3"/>
  <c r="N364" i="3" s="1"/>
  <c r="L364" i="3" l="1"/>
  <c r="AD365" i="3"/>
  <c r="AA365" i="3"/>
  <c r="Z365" i="3"/>
  <c r="AC365" i="3"/>
  <c r="P365" i="3"/>
  <c r="Q365" i="3" s="1"/>
  <c r="R365" i="3" s="1"/>
  <c r="S365" i="3" s="1"/>
  <c r="W364" i="3"/>
  <c r="T365" i="3" l="1"/>
  <c r="AH365" i="3" s="1"/>
  <c r="U364" i="3"/>
  <c r="Y363" i="3"/>
  <c r="E365" i="3" l="1"/>
  <c r="H365" i="3" s="1"/>
  <c r="K365" i="3" s="1"/>
  <c r="AE365" i="3" s="1"/>
  <c r="AG365" i="3"/>
  <c r="D365" i="3"/>
  <c r="F365" i="3" l="1"/>
  <c r="G365" i="3"/>
  <c r="I365" i="3" s="1"/>
  <c r="V365" i="3"/>
  <c r="A366" i="3"/>
  <c r="B366" i="3" s="1"/>
  <c r="M365" i="3" l="1"/>
  <c r="N365" i="3" s="1"/>
  <c r="W365" i="3"/>
  <c r="J365" i="3"/>
  <c r="L365" i="3" s="1"/>
  <c r="AA366" i="3"/>
  <c r="AD366" i="3"/>
  <c r="P366" i="3"/>
  <c r="Q366" i="3" s="1"/>
  <c r="R366" i="3" s="1"/>
  <c r="S366" i="3" s="1"/>
  <c r="AC366" i="3"/>
  <c r="Z366" i="3"/>
  <c r="T366" i="3" l="1"/>
  <c r="AH366" i="3" s="1"/>
  <c r="U365" i="3"/>
  <c r="Y364" i="3"/>
  <c r="D366" i="3" l="1"/>
  <c r="G366" i="3" s="1"/>
  <c r="AG366" i="3"/>
  <c r="E366" i="3"/>
  <c r="H366" i="3" s="1"/>
  <c r="K366" i="3" s="1"/>
  <c r="AE366" i="3" s="1"/>
  <c r="F366" i="3" l="1"/>
  <c r="V366" i="3"/>
  <c r="A367" i="3"/>
  <c r="B367" i="3" s="1"/>
  <c r="I366" i="3"/>
  <c r="J366" i="3"/>
  <c r="M366" i="3"/>
  <c r="N366" i="3" s="1"/>
  <c r="Z367" i="3" l="1"/>
  <c r="P367" i="3"/>
  <c r="Q367" i="3" s="1"/>
  <c r="R367" i="3" s="1"/>
  <c r="S367" i="3" s="1"/>
  <c r="AA367" i="3"/>
  <c r="AD367" i="3"/>
  <c r="AC367" i="3"/>
  <c r="L366" i="3"/>
  <c r="W366" i="3"/>
  <c r="T367" i="3" l="1"/>
  <c r="AH367" i="3" s="1"/>
  <c r="U366" i="3"/>
  <c r="Y365" i="3"/>
  <c r="D367" i="3" l="1"/>
  <c r="G367" i="3" s="1"/>
  <c r="AG367" i="3"/>
  <c r="E367" i="3"/>
  <c r="H367" i="3" s="1"/>
  <c r="K367" i="3" s="1"/>
  <c r="AE367" i="3" s="1"/>
  <c r="F367" i="3" l="1"/>
  <c r="I367" i="3"/>
  <c r="J367" i="3"/>
  <c r="M367" i="3"/>
  <c r="N367" i="3" s="1"/>
  <c r="V367" i="3"/>
  <c r="A368" i="3"/>
  <c r="B368" i="3" s="1"/>
  <c r="W367" i="3" l="1"/>
  <c r="AD368" i="3"/>
  <c r="AA368" i="3"/>
  <c r="AC368" i="3"/>
  <c r="Z368" i="3"/>
  <c r="P368" i="3"/>
  <c r="Q368" i="3" s="1"/>
  <c r="R368" i="3" s="1"/>
  <c r="S368" i="3" s="1"/>
  <c r="L367" i="3"/>
  <c r="T368" i="3" l="1"/>
  <c r="AH368" i="3" s="1"/>
  <c r="U367" i="3"/>
  <c r="Y366" i="3"/>
  <c r="D368" i="3" l="1"/>
  <c r="G368" i="3" s="1"/>
  <c r="AG368" i="3"/>
  <c r="E368" i="3"/>
  <c r="H368" i="3" s="1"/>
  <c r="K368" i="3" l="1"/>
  <c r="AE368" i="3" s="1"/>
  <c r="I368" i="3"/>
  <c r="J368" i="3"/>
  <c r="M368" i="3"/>
  <c r="N368" i="3" s="1"/>
  <c r="F368" i="3"/>
  <c r="L368" i="3" l="1"/>
  <c r="V368" i="3"/>
  <c r="W368" i="3" s="1"/>
  <c r="A369" i="3"/>
  <c r="B369" i="3" s="1"/>
  <c r="Z369" i="3" l="1"/>
  <c r="AD369" i="3"/>
  <c r="P369" i="3"/>
  <c r="Q369" i="3" s="1"/>
  <c r="R369" i="3" s="1"/>
  <c r="S369" i="3" s="1"/>
  <c r="AC369" i="3"/>
  <c r="AA369" i="3"/>
  <c r="U368" i="3"/>
  <c r="Y367" i="3"/>
  <c r="T369" i="3" l="1"/>
  <c r="AG369" i="3" s="1"/>
  <c r="E369" i="3" l="1"/>
  <c r="H369" i="3" s="1"/>
  <c r="K369" i="3" s="1"/>
  <c r="AE369" i="3" s="1"/>
  <c r="AH369" i="3"/>
  <c r="D369" i="3"/>
  <c r="F369" i="3" l="1"/>
  <c r="G369" i="3"/>
  <c r="V369" i="3"/>
  <c r="A370" i="3"/>
  <c r="B370" i="3" s="1"/>
  <c r="AA370" i="3" l="1"/>
  <c r="Z370" i="3"/>
  <c r="P370" i="3"/>
  <c r="Q370" i="3" s="1"/>
  <c r="R370" i="3" s="1"/>
  <c r="S370" i="3" s="1"/>
  <c r="AD370" i="3"/>
  <c r="AC370" i="3"/>
  <c r="I369" i="3"/>
  <c r="W369" i="3" s="1"/>
  <c r="J369" i="3"/>
  <c r="M369" i="3"/>
  <c r="N369" i="3" s="1"/>
  <c r="L369" i="3" l="1"/>
  <c r="T370" i="3"/>
  <c r="U369" i="3" l="1"/>
  <c r="E370" i="3" s="1"/>
  <c r="H370" i="3" s="1"/>
  <c r="AG370" i="3"/>
  <c r="AH370" i="3"/>
  <c r="Y368" i="3"/>
  <c r="D370" i="3" l="1"/>
  <c r="F370" i="3" s="1"/>
  <c r="K370" i="3"/>
  <c r="AE370" i="3" s="1"/>
  <c r="G370" i="3" l="1"/>
  <c r="I370" i="3" s="1"/>
  <c r="V370" i="3"/>
  <c r="A371" i="3"/>
  <c r="B371" i="3" s="1"/>
  <c r="J370" i="3" l="1"/>
  <c r="L370" i="3" s="1"/>
  <c r="M370" i="3"/>
  <c r="N370" i="3" s="1"/>
  <c r="Z371" i="3"/>
  <c r="P371" i="3"/>
  <c r="Q371" i="3" s="1"/>
  <c r="R371" i="3" s="1"/>
  <c r="S371" i="3" s="1"/>
  <c r="AD371" i="3"/>
  <c r="AC371" i="3"/>
  <c r="AA371" i="3"/>
  <c r="W370" i="3"/>
  <c r="T371" i="3" l="1"/>
  <c r="AG371" i="3" s="1"/>
  <c r="U370" i="3"/>
  <c r="Y369" i="3"/>
  <c r="D371" i="3" l="1"/>
  <c r="G371" i="3" s="1"/>
  <c r="AH371" i="3"/>
  <c r="E371" i="3"/>
  <c r="H371" i="3" s="1"/>
  <c r="K371" i="3" l="1"/>
  <c r="AE371" i="3" s="1"/>
  <c r="I371" i="3"/>
  <c r="J371" i="3"/>
  <c r="M371" i="3"/>
  <c r="N371" i="3" s="1"/>
  <c r="F371" i="3"/>
  <c r="L371" i="3" l="1"/>
  <c r="V371" i="3"/>
  <c r="W371" i="3" s="1"/>
  <c r="A372" i="3"/>
  <c r="B372" i="3" s="1"/>
  <c r="AD372" i="3" l="1"/>
  <c r="P372" i="3"/>
  <c r="Q372" i="3" s="1"/>
  <c r="R372" i="3" s="1"/>
  <c r="S372" i="3" s="1"/>
  <c r="Z372" i="3"/>
  <c r="AA372" i="3"/>
  <c r="AC372" i="3"/>
  <c r="U371" i="3"/>
  <c r="Y370" i="3"/>
  <c r="T372" i="3" l="1"/>
  <c r="AH372" i="3" s="1"/>
  <c r="D372" i="3" l="1"/>
  <c r="G372" i="3" s="1"/>
  <c r="E372" i="3"/>
  <c r="H372" i="3" s="1"/>
  <c r="K372" i="3" s="1"/>
  <c r="AE372" i="3" s="1"/>
  <c r="AG372" i="3"/>
  <c r="F372" i="3" l="1"/>
  <c r="V372" i="3"/>
  <c r="A373" i="3"/>
  <c r="B373" i="3" s="1"/>
  <c r="I372" i="3"/>
  <c r="J372" i="3"/>
  <c r="M372" i="3"/>
  <c r="N372" i="3" s="1"/>
  <c r="L372" i="3" l="1"/>
  <c r="P373" i="3"/>
  <c r="Q373" i="3" s="1"/>
  <c r="R373" i="3" s="1"/>
  <c r="S373" i="3" s="1"/>
  <c r="AD373" i="3"/>
  <c r="AA373" i="3"/>
  <c r="Z373" i="3"/>
  <c r="AC373" i="3"/>
  <c r="W372" i="3"/>
  <c r="T373" i="3" l="1"/>
  <c r="AH373" i="3" s="1"/>
  <c r="U372" i="3"/>
  <c r="Y371" i="3"/>
  <c r="D373" i="3" l="1"/>
  <c r="G373" i="3" s="1"/>
  <c r="E373" i="3"/>
  <c r="H373" i="3" s="1"/>
  <c r="K373" i="3" s="1"/>
  <c r="AE373" i="3" s="1"/>
  <c r="AG373" i="3"/>
  <c r="F373" i="3" l="1"/>
  <c r="I373" i="3"/>
  <c r="J373" i="3"/>
  <c r="M373" i="3"/>
  <c r="N373" i="3" s="1"/>
  <c r="V373" i="3"/>
  <c r="A374" i="3"/>
  <c r="B374" i="3" s="1"/>
  <c r="W373" i="3" l="1"/>
  <c r="AC374" i="3"/>
  <c r="AA374" i="3"/>
  <c r="AD374" i="3"/>
  <c r="Z374" i="3"/>
  <c r="P374" i="3"/>
  <c r="Q374" i="3" s="1"/>
  <c r="R374" i="3" s="1"/>
  <c r="S374" i="3" s="1"/>
  <c r="L373" i="3"/>
  <c r="T374" i="3" l="1"/>
  <c r="AG374" i="3" s="1"/>
  <c r="U373" i="3"/>
  <c r="Y372" i="3"/>
  <c r="E374" i="3" l="1"/>
  <c r="H374" i="3" s="1"/>
  <c r="K374" i="3" s="1"/>
  <c r="AE374" i="3" s="1"/>
  <c r="AH374" i="3"/>
  <c r="D374" i="3"/>
  <c r="F374" i="3" l="1"/>
  <c r="G374" i="3"/>
  <c r="I374" i="3" s="1"/>
  <c r="V374" i="3"/>
  <c r="A375" i="3"/>
  <c r="B375" i="3" s="1"/>
  <c r="M374" i="3" l="1"/>
  <c r="N374" i="3" s="1"/>
  <c r="J374" i="3"/>
  <c r="L374" i="3" s="1"/>
  <c r="AD375" i="3"/>
  <c r="P375" i="3"/>
  <c r="Q375" i="3" s="1"/>
  <c r="R375" i="3" s="1"/>
  <c r="S375" i="3" s="1"/>
  <c r="AC375" i="3"/>
  <c r="Z375" i="3"/>
  <c r="AA375" i="3"/>
  <c r="W374" i="3"/>
  <c r="T375" i="3" l="1"/>
  <c r="AG375" i="3" s="1"/>
  <c r="U374" i="3"/>
  <c r="Y373" i="3"/>
  <c r="AH375" i="3" l="1"/>
  <c r="E375" i="3"/>
  <c r="H375" i="3" s="1"/>
  <c r="K375" i="3" s="1"/>
  <c r="AE375" i="3" s="1"/>
  <c r="D375" i="3"/>
  <c r="F375" i="3" l="1"/>
  <c r="G375" i="3"/>
  <c r="J375" i="3" s="1"/>
  <c r="V375" i="3"/>
  <c r="A376" i="3"/>
  <c r="B376" i="3" s="1"/>
  <c r="M375" i="3" l="1"/>
  <c r="N375" i="3" s="1"/>
  <c r="I375" i="3"/>
  <c r="W375" i="3" s="1"/>
  <c r="Z376" i="3"/>
  <c r="AD376" i="3"/>
  <c r="P376" i="3"/>
  <c r="Q376" i="3" s="1"/>
  <c r="R376" i="3" s="1"/>
  <c r="S376" i="3" s="1"/>
  <c r="AC376" i="3"/>
  <c r="AA376" i="3"/>
  <c r="L375" i="3"/>
  <c r="U375" i="3" l="1"/>
  <c r="Y374" i="3"/>
  <c r="T376" i="3"/>
  <c r="D376" i="3" l="1"/>
  <c r="G376" i="3" s="1"/>
  <c r="E376" i="3"/>
  <c r="H376" i="3" s="1"/>
  <c r="K376" i="3" s="1"/>
  <c r="AE376" i="3" s="1"/>
  <c r="AH376" i="3"/>
  <c r="AG376" i="3"/>
  <c r="F376" i="3" l="1"/>
  <c r="I376" i="3"/>
  <c r="J376" i="3"/>
  <c r="M376" i="3"/>
  <c r="N376" i="3" s="1"/>
  <c r="V376" i="3"/>
  <c r="A377" i="3"/>
  <c r="B377" i="3" s="1"/>
  <c r="W376" i="3" l="1"/>
  <c r="AD377" i="3"/>
  <c r="AC377" i="3"/>
  <c r="Z377" i="3"/>
  <c r="AA377" i="3"/>
  <c r="P377" i="3"/>
  <c r="Q377" i="3" s="1"/>
  <c r="R377" i="3" s="1"/>
  <c r="S377" i="3" s="1"/>
  <c r="L376" i="3"/>
  <c r="U376" i="3" l="1"/>
  <c r="Y375" i="3"/>
  <c r="T377" i="3"/>
  <c r="AG377" i="3" s="1"/>
  <c r="AH377" i="3" l="1"/>
  <c r="D377" i="3"/>
  <c r="G377" i="3" s="1"/>
  <c r="E377" i="3"/>
  <c r="H377" i="3" s="1"/>
  <c r="K377" i="3" s="1"/>
  <c r="AE377" i="3" s="1"/>
  <c r="F377" i="3" l="1"/>
  <c r="I377" i="3"/>
  <c r="J377" i="3"/>
  <c r="M377" i="3"/>
  <c r="N377" i="3" s="1"/>
  <c r="V377" i="3"/>
  <c r="A378" i="3"/>
  <c r="B378" i="3" s="1"/>
  <c r="W377" i="3" l="1"/>
  <c r="AC378" i="3"/>
  <c r="P378" i="3"/>
  <c r="Q378" i="3" s="1"/>
  <c r="R378" i="3" s="1"/>
  <c r="S378" i="3" s="1"/>
  <c r="AD378" i="3"/>
  <c r="Z378" i="3"/>
  <c r="AA378" i="3"/>
  <c r="L377" i="3"/>
  <c r="T378" i="3" l="1"/>
  <c r="AH378" i="3" s="1"/>
  <c r="U377" i="3"/>
  <c r="Y376" i="3"/>
  <c r="D378" i="3" l="1"/>
  <c r="AG378" i="3"/>
  <c r="E378" i="3"/>
  <c r="H378" i="3" s="1"/>
  <c r="K378" i="3" s="1"/>
  <c r="AE378" i="3" s="1"/>
  <c r="F378" i="3" l="1"/>
  <c r="G378" i="3"/>
  <c r="I378" i="3" s="1"/>
  <c r="V378" i="3"/>
  <c r="A379" i="3"/>
  <c r="B379" i="3" s="1"/>
  <c r="M378" i="3" l="1"/>
  <c r="N378" i="3" s="1"/>
  <c r="J378" i="3"/>
  <c r="L378" i="3" s="1"/>
  <c r="AD379" i="3"/>
  <c r="Z379" i="3"/>
  <c r="AC379" i="3"/>
  <c r="AA379" i="3"/>
  <c r="P379" i="3"/>
  <c r="Q379" i="3" s="1"/>
  <c r="R379" i="3" s="1"/>
  <c r="S379" i="3" s="1"/>
  <c r="W378" i="3"/>
  <c r="T379" i="3" l="1"/>
  <c r="AH379" i="3" s="1"/>
  <c r="U378" i="3"/>
  <c r="Y377" i="3"/>
  <c r="AG379" i="3" l="1"/>
  <c r="E379" i="3"/>
  <c r="H379" i="3" s="1"/>
  <c r="K379" i="3" s="1"/>
  <c r="AE379" i="3" s="1"/>
  <c r="D379" i="3"/>
  <c r="G379" i="3" s="1"/>
  <c r="F379" i="3" l="1"/>
  <c r="V379" i="3"/>
  <c r="A380" i="3"/>
  <c r="B380" i="3" s="1"/>
  <c r="I379" i="3"/>
  <c r="J379" i="3"/>
  <c r="M379" i="3"/>
  <c r="N379" i="3" s="1"/>
  <c r="AA380" i="3" l="1"/>
  <c r="Z380" i="3"/>
  <c r="P380" i="3"/>
  <c r="Q380" i="3" s="1"/>
  <c r="R380" i="3" s="1"/>
  <c r="S380" i="3" s="1"/>
  <c r="AC380" i="3"/>
  <c r="AD380" i="3"/>
  <c r="L379" i="3"/>
  <c r="W379" i="3"/>
  <c r="T380" i="3" l="1"/>
  <c r="AH380" i="3" s="1"/>
  <c r="U379" i="3"/>
  <c r="Y378" i="3"/>
  <c r="AG380" i="3" l="1"/>
  <c r="D380" i="3"/>
  <c r="G380" i="3" s="1"/>
  <c r="E380" i="3"/>
  <c r="H380" i="3" s="1"/>
  <c r="K380" i="3" l="1"/>
  <c r="AE380" i="3" s="1"/>
  <c r="I380" i="3"/>
  <c r="J380" i="3"/>
  <c r="M380" i="3"/>
  <c r="N380" i="3" s="1"/>
  <c r="F380" i="3"/>
  <c r="L380" i="3" l="1"/>
  <c r="V380" i="3"/>
  <c r="W380" i="3" s="1"/>
  <c r="A381" i="3"/>
  <c r="B381" i="3" s="1"/>
  <c r="AC381" i="3" l="1"/>
  <c r="P381" i="3"/>
  <c r="Q381" i="3" s="1"/>
  <c r="R381" i="3" s="1"/>
  <c r="S381" i="3" s="1"/>
  <c r="AA381" i="3"/>
  <c r="AD381" i="3"/>
  <c r="Z381" i="3"/>
  <c r="U380" i="3"/>
  <c r="Y379" i="3"/>
  <c r="T381" i="3" l="1"/>
  <c r="AH381" i="3" s="1"/>
  <c r="AG381" i="3" l="1"/>
  <c r="D381" i="3"/>
  <c r="G381" i="3" s="1"/>
  <c r="E381" i="3"/>
  <c r="H381" i="3" s="1"/>
  <c r="K381" i="3" l="1"/>
  <c r="AE381" i="3" s="1"/>
  <c r="I381" i="3"/>
  <c r="J381" i="3"/>
  <c r="M381" i="3"/>
  <c r="N381" i="3" s="1"/>
  <c r="F381" i="3"/>
  <c r="L381" i="3" l="1"/>
  <c r="V381" i="3"/>
  <c r="W381" i="3" s="1"/>
  <c r="A382" i="3"/>
  <c r="B382" i="3" s="1"/>
  <c r="AD382" i="3" l="1"/>
  <c r="Z382" i="3"/>
  <c r="AC382" i="3"/>
  <c r="P382" i="3"/>
  <c r="Q382" i="3" s="1"/>
  <c r="R382" i="3" s="1"/>
  <c r="S382" i="3" s="1"/>
  <c r="AA382" i="3"/>
  <c r="U381" i="3"/>
  <c r="Y380" i="3"/>
  <c r="T382" i="3" l="1"/>
  <c r="D382" i="3" s="1"/>
  <c r="E382" i="3" l="1"/>
  <c r="H382" i="3" s="1"/>
  <c r="K382" i="3" s="1"/>
  <c r="AE382" i="3" s="1"/>
  <c r="AH382" i="3"/>
  <c r="AG382" i="3"/>
  <c r="G382" i="3"/>
  <c r="F382" i="3" l="1"/>
  <c r="V382" i="3"/>
  <c r="A383" i="3"/>
  <c r="B383" i="3" s="1"/>
  <c r="I382" i="3"/>
  <c r="J382" i="3"/>
  <c r="M382" i="3"/>
  <c r="N382" i="3" s="1"/>
  <c r="Z383" i="3" l="1"/>
  <c r="AD383" i="3"/>
  <c r="AA383" i="3"/>
  <c r="AC383" i="3"/>
  <c r="P383" i="3"/>
  <c r="Q383" i="3" s="1"/>
  <c r="R383" i="3" s="1"/>
  <c r="S383" i="3" s="1"/>
  <c r="L382" i="3"/>
  <c r="W382" i="3"/>
  <c r="T383" i="3" l="1"/>
  <c r="AH383" i="3" s="1"/>
  <c r="U382" i="3"/>
  <c r="Y381" i="3"/>
  <c r="AG383" i="3" l="1"/>
  <c r="E383" i="3"/>
  <c r="H383" i="3" s="1"/>
  <c r="K383" i="3" s="1"/>
  <c r="AE383" i="3" s="1"/>
  <c r="D383" i="3"/>
  <c r="G383" i="3" s="1"/>
  <c r="F383" i="3" l="1"/>
  <c r="I383" i="3"/>
  <c r="J383" i="3"/>
  <c r="M383" i="3"/>
  <c r="N383" i="3" s="1"/>
  <c r="V383" i="3"/>
  <c r="A384" i="3"/>
  <c r="B384" i="3" s="1"/>
  <c r="W383" i="3" l="1"/>
  <c r="P384" i="3"/>
  <c r="Q384" i="3" s="1"/>
  <c r="R384" i="3" s="1"/>
  <c r="S384" i="3" s="1"/>
  <c r="Z384" i="3"/>
  <c r="AD384" i="3"/>
  <c r="AC384" i="3"/>
  <c r="AA384" i="3"/>
  <c r="L383" i="3"/>
  <c r="T384" i="3" l="1"/>
  <c r="AG384" i="3" s="1"/>
  <c r="U383" i="3"/>
  <c r="Y382" i="3"/>
  <c r="D384" i="3" l="1"/>
  <c r="G384" i="3" s="1"/>
  <c r="AH384" i="3"/>
  <c r="E384" i="3"/>
  <c r="H384" i="3" s="1"/>
  <c r="K384" i="3" s="1"/>
  <c r="AE384" i="3" s="1"/>
  <c r="F384" i="3" l="1"/>
  <c r="V384" i="3"/>
  <c r="A385" i="3"/>
  <c r="B385" i="3" s="1"/>
  <c r="I384" i="3"/>
  <c r="J384" i="3"/>
  <c r="M384" i="3"/>
  <c r="N384" i="3" s="1"/>
  <c r="AD385" i="3" l="1"/>
  <c r="AC385" i="3"/>
  <c r="Z385" i="3"/>
  <c r="AA385" i="3"/>
  <c r="P385" i="3"/>
  <c r="Q385" i="3" s="1"/>
  <c r="R385" i="3" s="1"/>
  <c r="S385" i="3" s="1"/>
  <c r="L384" i="3"/>
  <c r="W384" i="3"/>
  <c r="U384" i="3" l="1"/>
  <c r="Y383" i="3"/>
  <c r="T385" i="3"/>
  <c r="D385" i="3" l="1"/>
  <c r="G385" i="3" s="1"/>
  <c r="E385" i="3"/>
  <c r="H385" i="3" s="1"/>
  <c r="K385" i="3" s="1"/>
  <c r="AE385" i="3" s="1"/>
  <c r="AG385" i="3"/>
  <c r="AH385" i="3"/>
  <c r="F385" i="3" l="1"/>
  <c r="V385" i="3"/>
  <c r="A386" i="3"/>
  <c r="B386" i="3" s="1"/>
  <c r="I385" i="3"/>
  <c r="J385" i="3"/>
  <c r="M385" i="3"/>
  <c r="N385" i="3" s="1"/>
  <c r="L385" i="3" l="1"/>
  <c r="AC386" i="3"/>
  <c r="P386" i="3"/>
  <c r="Q386" i="3" s="1"/>
  <c r="R386" i="3" s="1"/>
  <c r="S386" i="3" s="1"/>
  <c r="Z386" i="3"/>
  <c r="AA386" i="3"/>
  <c r="AD386" i="3"/>
  <c r="W385" i="3"/>
  <c r="T386" i="3" l="1"/>
  <c r="AG386" i="3" s="1"/>
  <c r="U385" i="3"/>
  <c r="Y384" i="3"/>
  <c r="AH386" i="3" l="1"/>
  <c r="E386" i="3"/>
  <c r="H386" i="3" s="1"/>
  <c r="K386" i="3" s="1"/>
  <c r="AE386" i="3" s="1"/>
  <c r="D386" i="3"/>
  <c r="F386" i="3" l="1"/>
  <c r="G386" i="3"/>
  <c r="I386" i="3" s="1"/>
  <c r="V386" i="3"/>
  <c r="A387" i="3"/>
  <c r="B387" i="3" s="1"/>
  <c r="M386" i="3" l="1"/>
  <c r="N386" i="3" s="1"/>
  <c r="J386" i="3"/>
  <c r="L386" i="3" s="1"/>
  <c r="W386" i="3"/>
  <c r="AC387" i="3"/>
  <c r="AA387" i="3"/>
  <c r="Z387" i="3"/>
  <c r="AD387" i="3"/>
  <c r="P387" i="3"/>
  <c r="Q387" i="3" s="1"/>
  <c r="R387" i="3" s="1"/>
  <c r="S387" i="3" s="1"/>
  <c r="T387" i="3" l="1"/>
  <c r="AH387" i="3" s="1"/>
  <c r="U386" i="3"/>
  <c r="Y385" i="3"/>
  <c r="D387" i="3" l="1"/>
  <c r="G387" i="3" s="1"/>
  <c r="AG387" i="3"/>
  <c r="E387" i="3"/>
  <c r="H387" i="3" s="1"/>
  <c r="K387" i="3" s="1"/>
  <c r="AE387" i="3" s="1"/>
  <c r="F387" i="3" l="1"/>
  <c r="I387" i="3"/>
  <c r="J387" i="3"/>
  <c r="M387" i="3"/>
  <c r="N387" i="3" s="1"/>
  <c r="V387" i="3"/>
  <c r="A388" i="3"/>
  <c r="B388" i="3" s="1"/>
  <c r="W387" i="3" l="1"/>
  <c r="AA388" i="3"/>
  <c r="Z388" i="3"/>
  <c r="P388" i="3"/>
  <c r="Q388" i="3" s="1"/>
  <c r="R388" i="3" s="1"/>
  <c r="S388" i="3" s="1"/>
  <c r="AC388" i="3"/>
  <c r="AD388" i="3"/>
  <c r="L387" i="3"/>
  <c r="T388" i="3" l="1"/>
  <c r="AH388" i="3" s="1"/>
  <c r="U387" i="3"/>
  <c r="Y386" i="3"/>
  <c r="AG388" i="3" l="1"/>
  <c r="E388" i="3"/>
  <c r="H388" i="3" s="1"/>
  <c r="K388" i="3" s="1"/>
  <c r="AE388" i="3" s="1"/>
  <c r="D388" i="3"/>
  <c r="G388" i="3" s="1"/>
  <c r="F388" i="3" l="1"/>
  <c r="I388" i="3"/>
  <c r="J388" i="3"/>
  <c r="M388" i="3"/>
  <c r="N388" i="3" s="1"/>
  <c r="V388" i="3"/>
  <c r="A389" i="3"/>
  <c r="B389" i="3" s="1"/>
  <c r="W388" i="3" l="1"/>
  <c r="AA389" i="3"/>
  <c r="AD389" i="3"/>
  <c r="AC389" i="3"/>
  <c r="Z389" i="3"/>
  <c r="P389" i="3"/>
  <c r="Q389" i="3" s="1"/>
  <c r="R389" i="3" s="1"/>
  <c r="S389" i="3" s="1"/>
  <c r="L388" i="3"/>
  <c r="T389" i="3" l="1"/>
  <c r="AH389" i="3" s="1"/>
  <c r="U388" i="3"/>
  <c r="Y387" i="3"/>
  <c r="AG389" i="3" l="1"/>
  <c r="E389" i="3"/>
  <c r="H389" i="3" s="1"/>
  <c r="K389" i="3" s="1"/>
  <c r="AE389" i="3" s="1"/>
  <c r="D389" i="3"/>
  <c r="F389" i="3" l="1"/>
  <c r="G389" i="3"/>
  <c r="I389" i="3" s="1"/>
  <c r="V389" i="3"/>
  <c r="A390" i="3"/>
  <c r="B390" i="3" s="1"/>
  <c r="M389" i="3" l="1"/>
  <c r="N389" i="3" s="1"/>
  <c r="J389" i="3"/>
  <c r="L389" i="3" s="1"/>
  <c r="W389" i="3"/>
  <c r="P390" i="3"/>
  <c r="Q390" i="3" s="1"/>
  <c r="R390" i="3" s="1"/>
  <c r="S390" i="3" s="1"/>
  <c r="AC390" i="3"/>
  <c r="Z390" i="3"/>
  <c r="AA390" i="3"/>
  <c r="AD390" i="3"/>
  <c r="T390" i="3" l="1"/>
  <c r="AG390" i="3" s="1"/>
  <c r="U389" i="3"/>
  <c r="Y388" i="3"/>
  <c r="D390" i="3" l="1"/>
  <c r="G390" i="3" s="1"/>
  <c r="AH390" i="3"/>
  <c r="E390" i="3"/>
  <c r="H390" i="3" s="1"/>
  <c r="K390" i="3" l="1"/>
  <c r="AE390" i="3" s="1"/>
  <c r="I390" i="3"/>
  <c r="J390" i="3"/>
  <c r="M390" i="3"/>
  <c r="N390" i="3" s="1"/>
  <c r="F390" i="3"/>
  <c r="L390" i="3" l="1"/>
  <c r="V390" i="3"/>
  <c r="W390" i="3" s="1"/>
  <c r="A391" i="3"/>
  <c r="B391" i="3" s="1"/>
  <c r="Z391" i="3" l="1"/>
  <c r="AC391" i="3"/>
  <c r="AA391" i="3"/>
  <c r="AD391" i="3"/>
  <c r="P391" i="3"/>
  <c r="Q391" i="3" s="1"/>
  <c r="R391" i="3" s="1"/>
  <c r="S391" i="3" s="1"/>
  <c r="U390" i="3"/>
  <c r="Y389" i="3"/>
  <c r="T391" i="3" l="1"/>
  <c r="E391" i="3" s="1"/>
  <c r="H391" i="3" s="1"/>
  <c r="AG391" i="3" l="1"/>
  <c r="AH391" i="3"/>
  <c r="D391" i="3"/>
  <c r="G391" i="3" s="1"/>
  <c r="K391" i="3"/>
  <c r="AE391" i="3" s="1"/>
  <c r="F391" i="3" l="1"/>
  <c r="I391" i="3"/>
  <c r="J391" i="3"/>
  <c r="M391" i="3"/>
  <c r="N391" i="3" s="1"/>
  <c r="V391" i="3"/>
  <c r="A392" i="3"/>
  <c r="B392" i="3" s="1"/>
  <c r="W391" i="3" l="1"/>
  <c r="P392" i="3"/>
  <c r="Q392" i="3" s="1"/>
  <c r="R392" i="3" s="1"/>
  <c r="S392" i="3" s="1"/>
  <c r="AD392" i="3"/>
  <c r="Z392" i="3"/>
  <c r="AA392" i="3"/>
  <c r="AC392" i="3"/>
  <c r="L391" i="3"/>
  <c r="T392" i="3" l="1"/>
  <c r="U391" i="3"/>
  <c r="Y390" i="3"/>
  <c r="D392" i="3" l="1"/>
  <c r="G392" i="3" s="1"/>
  <c r="E392" i="3"/>
  <c r="H392" i="3" s="1"/>
  <c r="K392" i="3" s="1"/>
  <c r="AE392" i="3" s="1"/>
  <c r="AH392" i="3"/>
  <c r="AG392" i="3"/>
  <c r="F392" i="3" l="1"/>
  <c r="V392" i="3"/>
  <c r="A393" i="3"/>
  <c r="B393" i="3" s="1"/>
  <c r="I392" i="3"/>
  <c r="J392" i="3"/>
  <c r="M392" i="3"/>
  <c r="N392" i="3" s="1"/>
  <c r="AC393" i="3" l="1"/>
  <c r="AD393" i="3"/>
  <c r="Z393" i="3"/>
  <c r="AA393" i="3"/>
  <c r="P393" i="3"/>
  <c r="Q393" i="3" s="1"/>
  <c r="R393" i="3" s="1"/>
  <c r="S393" i="3" s="1"/>
  <c r="L392" i="3"/>
  <c r="W392" i="3"/>
  <c r="U392" i="3" l="1"/>
  <c r="Y391" i="3"/>
  <c r="T393" i="3"/>
  <c r="E393" i="3" l="1"/>
  <c r="H393" i="3" s="1"/>
  <c r="K393" i="3" s="1"/>
  <c r="AE393" i="3" s="1"/>
  <c r="D393" i="3"/>
  <c r="AG393" i="3"/>
  <c r="AH393" i="3"/>
  <c r="F393" i="3" l="1"/>
  <c r="G393" i="3"/>
  <c r="I393" i="3" s="1"/>
  <c r="V393" i="3"/>
  <c r="A394" i="3"/>
  <c r="B394" i="3" s="1"/>
  <c r="M393" i="3" l="1"/>
  <c r="N393" i="3" s="1"/>
  <c r="J393" i="3"/>
  <c r="L393" i="3" s="1"/>
  <c r="W393" i="3"/>
  <c r="Z394" i="3"/>
  <c r="AA394" i="3"/>
  <c r="AD394" i="3"/>
  <c r="P394" i="3"/>
  <c r="Q394" i="3" s="1"/>
  <c r="R394" i="3" s="1"/>
  <c r="S394" i="3" s="1"/>
  <c r="AC394" i="3"/>
  <c r="T394" i="3" l="1"/>
  <c r="AG394" i="3" s="1"/>
  <c r="U393" i="3"/>
  <c r="Y392" i="3"/>
  <c r="D394" i="3" l="1"/>
  <c r="G394" i="3" s="1"/>
  <c r="AH394" i="3"/>
  <c r="E394" i="3"/>
  <c r="H394" i="3" s="1"/>
  <c r="K394" i="3" s="1"/>
  <c r="AE394" i="3" s="1"/>
  <c r="F394" i="3" l="1"/>
  <c r="V394" i="3"/>
  <c r="A395" i="3"/>
  <c r="B395" i="3" s="1"/>
  <c r="I394" i="3"/>
  <c r="J394" i="3"/>
  <c r="M394" i="3"/>
  <c r="N394" i="3" s="1"/>
  <c r="L394" i="3" l="1"/>
  <c r="Z395" i="3"/>
  <c r="AC395" i="3"/>
  <c r="AD395" i="3"/>
  <c r="P395" i="3"/>
  <c r="Q395" i="3" s="1"/>
  <c r="R395" i="3" s="1"/>
  <c r="S395" i="3" s="1"/>
  <c r="AA395" i="3"/>
  <c r="W394" i="3"/>
  <c r="U394" i="3" l="1"/>
  <c r="Y393" i="3"/>
  <c r="T395" i="3"/>
  <c r="D395" i="3" l="1"/>
  <c r="G395" i="3" s="1"/>
  <c r="E395" i="3"/>
  <c r="H395" i="3" s="1"/>
  <c r="K395" i="3" s="1"/>
  <c r="AE395" i="3" s="1"/>
  <c r="AG395" i="3"/>
  <c r="AH395" i="3"/>
  <c r="F395" i="3" l="1"/>
  <c r="V395" i="3"/>
  <c r="A396" i="3"/>
  <c r="B396" i="3" s="1"/>
  <c r="I395" i="3"/>
  <c r="J395" i="3"/>
  <c r="M395" i="3"/>
  <c r="N395" i="3" s="1"/>
  <c r="L395" i="3" l="1"/>
  <c r="AD396" i="3"/>
  <c r="AC396" i="3"/>
  <c r="AA396" i="3"/>
  <c r="P396" i="3"/>
  <c r="Q396" i="3" s="1"/>
  <c r="R396" i="3" s="1"/>
  <c r="S396" i="3" s="1"/>
  <c r="Z396" i="3"/>
  <c r="W395" i="3"/>
  <c r="T396" i="3" l="1"/>
  <c r="AG396" i="3" s="1"/>
  <c r="U395" i="3"/>
  <c r="Y394" i="3"/>
  <c r="AH396" i="3" l="1"/>
  <c r="D396" i="3"/>
  <c r="G396" i="3" s="1"/>
  <c r="E396" i="3"/>
  <c r="H396" i="3" s="1"/>
  <c r="K396" i="3" s="1"/>
  <c r="AE396" i="3" s="1"/>
  <c r="F396" i="3" l="1"/>
  <c r="I396" i="3"/>
  <c r="J396" i="3"/>
  <c r="M396" i="3"/>
  <c r="N396" i="3" s="1"/>
  <c r="V396" i="3"/>
  <c r="A397" i="3"/>
  <c r="B397" i="3" s="1"/>
  <c r="W396" i="3" l="1"/>
  <c r="Z397" i="3"/>
  <c r="AD397" i="3"/>
  <c r="P397" i="3"/>
  <c r="Q397" i="3" s="1"/>
  <c r="R397" i="3" s="1"/>
  <c r="S397" i="3" s="1"/>
  <c r="AA397" i="3"/>
  <c r="AC397" i="3"/>
  <c r="L396" i="3"/>
  <c r="T397" i="3" l="1"/>
  <c r="AH397" i="3" s="1"/>
  <c r="U396" i="3"/>
  <c r="Y395" i="3"/>
  <c r="E397" i="3" l="1"/>
  <c r="H397" i="3" s="1"/>
  <c r="K397" i="3" s="1"/>
  <c r="AE397" i="3" s="1"/>
  <c r="AG397" i="3"/>
  <c r="D397" i="3"/>
  <c r="F397" i="3" l="1"/>
  <c r="G397" i="3"/>
  <c r="I397" i="3" s="1"/>
  <c r="V397" i="3"/>
  <c r="A398" i="3"/>
  <c r="B398" i="3" s="1"/>
  <c r="M397" i="3" l="1"/>
  <c r="N397" i="3" s="1"/>
  <c r="J397" i="3"/>
  <c r="L397" i="3" s="1"/>
  <c r="W397" i="3"/>
  <c r="Z398" i="3"/>
  <c r="AC398" i="3"/>
  <c r="AA398" i="3"/>
  <c r="AD398" i="3"/>
  <c r="P398" i="3"/>
  <c r="Q398" i="3" s="1"/>
  <c r="R398" i="3" s="1"/>
  <c r="S398" i="3" s="1"/>
  <c r="T398" i="3" l="1"/>
  <c r="AH398" i="3" s="1"/>
  <c r="U397" i="3"/>
  <c r="Y396" i="3"/>
  <c r="D398" i="3" l="1"/>
  <c r="G398" i="3" s="1"/>
  <c r="AG398" i="3"/>
  <c r="E398" i="3"/>
  <c r="H398" i="3" s="1"/>
  <c r="K398" i="3" l="1"/>
  <c r="AE398" i="3" s="1"/>
  <c r="I398" i="3"/>
  <c r="J398" i="3"/>
  <c r="M398" i="3"/>
  <c r="N398" i="3" s="1"/>
  <c r="F398" i="3"/>
  <c r="L398" i="3" l="1"/>
  <c r="V398" i="3"/>
  <c r="W398" i="3" s="1"/>
  <c r="A399" i="3"/>
  <c r="B399" i="3" s="1"/>
  <c r="AA399" i="3" l="1"/>
  <c r="AC399" i="3"/>
  <c r="Z399" i="3"/>
  <c r="AD399" i="3"/>
  <c r="P399" i="3"/>
  <c r="Q399" i="3" s="1"/>
  <c r="R399" i="3" s="1"/>
  <c r="S399" i="3" s="1"/>
  <c r="U398" i="3"/>
  <c r="Y397" i="3"/>
  <c r="T399" i="3" l="1"/>
  <c r="AH399" i="3" s="1"/>
  <c r="D399" i="3" l="1"/>
  <c r="G399" i="3" s="1"/>
  <c r="AG399" i="3"/>
  <c r="E399" i="3"/>
  <c r="H399" i="3" s="1"/>
  <c r="K399" i="3" l="1"/>
  <c r="AE399" i="3" s="1"/>
  <c r="I399" i="3"/>
  <c r="J399" i="3"/>
  <c r="M399" i="3"/>
  <c r="N399" i="3" s="1"/>
  <c r="F399" i="3"/>
  <c r="L399" i="3" l="1"/>
  <c r="V399" i="3"/>
  <c r="W399" i="3" s="1"/>
  <c r="A400" i="3"/>
  <c r="B400" i="3" s="1"/>
  <c r="P400" i="3" l="1"/>
  <c r="Q400" i="3" s="1"/>
  <c r="R400" i="3" s="1"/>
  <c r="S400" i="3" s="1"/>
  <c r="AA400" i="3"/>
  <c r="AD400" i="3"/>
  <c r="AC400" i="3"/>
  <c r="Z400" i="3"/>
  <c r="U399" i="3"/>
  <c r="Y398" i="3"/>
  <c r="T400" i="3" l="1"/>
  <c r="E400" i="3" s="1"/>
  <c r="H400" i="3" s="1"/>
  <c r="K400" i="3" l="1"/>
  <c r="AE400" i="3" s="1"/>
  <c r="AG400" i="3"/>
  <c r="AH400" i="3"/>
  <c r="D400" i="3"/>
  <c r="F400" i="3" l="1"/>
  <c r="G400" i="3"/>
  <c r="V400" i="3"/>
  <c r="A401" i="3"/>
  <c r="B401" i="3" s="1"/>
  <c r="AA401" i="3" l="1"/>
  <c r="Z401" i="3"/>
  <c r="AC401" i="3"/>
  <c r="AD401" i="3"/>
  <c r="P401" i="3"/>
  <c r="Q401" i="3" s="1"/>
  <c r="R401" i="3" s="1"/>
  <c r="S401" i="3" s="1"/>
  <c r="I400" i="3"/>
  <c r="W400" i="3" s="1"/>
  <c r="J400" i="3"/>
  <c r="M400" i="3"/>
  <c r="N400" i="3" s="1"/>
  <c r="T401" i="3" l="1"/>
  <c r="L400" i="3"/>
  <c r="AH401" i="3" l="1"/>
  <c r="AG401" i="3"/>
  <c r="U400" i="3"/>
  <c r="E401" i="3" s="1"/>
  <c r="H401" i="3" s="1"/>
  <c r="Y399" i="3"/>
  <c r="D401" i="3" l="1"/>
  <c r="F401" i="3" s="1"/>
  <c r="K401" i="3"/>
  <c r="AE401" i="3" s="1"/>
  <c r="G401" i="3" l="1"/>
  <c r="I401" i="3" s="1"/>
  <c r="V401" i="3"/>
  <c r="A402" i="3"/>
  <c r="B402" i="3" s="1"/>
  <c r="M401" i="3" l="1"/>
  <c r="N401" i="3" s="1"/>
  <c r="J401" i="3"/>
  <c r="L401" i="3" s="1"/>
  <c r="W401" i="3"/>
  <c r="AA402" i="3"/>
  <c r="AC402" i="3"/>
  <c r="Z402" i="3"/>
  <c r="AD402" i="3"/>
  <c r="P402" i="3"/>
  <c r="Q402" i="3" s="1"/>
  <c r="R402" i="3" s="1"/>
  <c r="S402" i="3" s="1"/>
  <c r="T402" i="3" l="1"/>
  <c r="AG402" i="3" s="1"/>
  <c r="U401" i="3"/>
  <c r="Y400" i="3"/>
  <c r="AH402" i="3" l="1"/>
  <c r="D402" i="3"/>
  <c r="G402" i="3" s="1"/>
  <c r="E402" i="3"/>
  <c r="H402" i="3" s="1"/>
  <c r="K402" i="3" s="1"/>
  <c r="AE402" i="3" s="1"/>
  <c r="F402" i="3" l="1"/>
  <c r="I402" i="3"/>
  <c r="J402" i="3"/>
  <c r="M402" i="3"/>
  <c r="N402" i="3" s="1"/>
  <c r="V402" i="3"/>
  <c r="A403" i="3"/>
  <c r="B403" i="3" s="1"/>
  <c r="W402" i="3" l="1"/>
  <c r="Z403" i="3"/>
  <c r="AD403" i="3"/>
  <c r="AC403" i="3"/>
  <c r="AA403" i="3"/>
  <c r="P403" i="3"/>
  <c r="Q403" i="3" s="1"/>
  <c r="R403" i="3" s="1"/>
  <c r="S403" i="3" s="1"/>
  <c r="L402" i="3"/>
  <c r="T403" i="3" l="1"/>
  <c r="AH403" i="3" s="1"/>
  <c r="U402" i="3"/>
  <c r="Y401" i="3"/>
  <c r="AG403" i="3" l="1"/>
  <c r="D403" i="3"/>
  <c r="G403" i="3" s="1"/>
  <c r="E403" i="3"/>
  <c r="H403" i="3" s="1"/>
  <c r="K403" i="3" s="1"/>
  <c r="AE403" i="3" s="1"/>
  <c r="F403" i="3" l="1"/>
  <c r="V403" i="3"/>
  <c r="A404" i="3"/>
  <c r="B404" i="3" s="1"/>
  <c r="I403" i="3"/>
  <c r="J403" i="3"/>
  <c r="M403" i="3"/>
  <c r="N403" i="3" s="1"/>
  <c r="L403" i="3" l="1"/>
  <c r="AA404" i="3"/>
  <c r="Z404" i="3"/>
  <c r="AC404" i="3"/>
  <c r="P404" i="3"/>
  <c r="Q404" i="3" s="1"/>
  <c r="R404" i="3" s="1"/>
  <c r="S404" i="3" s="1"/>
  <c r="W403" i="3"/>
  <c r="U403" i="3" l="1"/>
  <c r="Y402" i="3"/>
  <c r="T404" i="3"/>
  <c r="E404" i="3" l="1"/>
  <c r="H404" i="3" s="1"/>
  <c r="K404" i="3" s="1"/>
  <c r="AE404" i="3" s="1"/>
  <c r="AG404" i="3"/>
  <c r="D404" i="3"/>
  <c r="G404" i="3" s="1"/>
  <c r="AH404" i="3"/>
  <c r="F404" i="3" l="1"/>
  <c r="I404" i="3"/>
  <c r="J404" i="3"/>
  <c r="AD404" i="3" s="1"/>
  <c r="M404" i="3"/>
  <c r="N404" i="3" s="1"/>
  <c r="V404" i="3"/>
  <c r="W404" i="3" s="1"/>
  <c r="A405" i="3"/>
  <c r="B405" i="3" s="1"/>
  <c r="AA405" i="3" l="1"/>
  <c r="AD405" i="3"/>
  <c r="P405" i="3"/>
  <c r="Q405" i="3" s="1"/>
  <c r="R405" i="3" s="1"/>
  <c r="S405" i="3" s="1"/>
  <c r="Z405" i="3"/>
  <c r="AC405" i="3"/>
  <c r="L404" i="3"/>
  <c r="T405" i="3" l="1"/>
  <c r="AH405" i="3" s="1"/>
  <c r="U404" i="3"/>
  <c r="Y403" i="3"/>
  <c r="E405" i="3" l="1"/>
  <c r="H405" i="3" s="1"/>
  <c r="K405" i="3" s="1"/>
  <c r="AE405" i="3" s="1"/>
  <c r="D405" i="3"/>
  <c r="G405" i="3" s="1"/>
  <c r="AG405" i="3"/>
  <c r="F405" i="3" l="1"/>
  <c r="V405" i="3"/>
  <c r="A406" i="3"/>
  <c r="B406" i="3" s="1"/>
  <c r="I405" i="3"/>
  <c r="J405" i="3"/>
  <c r="M405" i="3"/>
  <c r="N405" i="3" s="1"/>
  <c r="L405" i="3" l="1"/>
  <c r="Z406" i="3"/>
  <c r="AC406" i="3"/>
  <c r="AD406" i="3"/>
  <c r="AA406" i="3"/>
  <c r="P406" i="3"/>
  <c r="Q406" i="3" s="1"/>
  <c r="R406" i="3" s="1"/>
  <c r="S406" i="3" s="1"/>
  <c r="W405" i="3"/>
  <c r="T406" i="3" l="1"/>
  <c r="AH406" i="3" s="1"/>
  <c r="U405" i="3"/>
  <c r="Y404" i="3"/>
  <c r="AG406" i="3" l="1"/>
  <c r="D406" i="3"/>
  <c r="G406" i="3" s="1"/>
  <c r="E406" i="3"/>
  <c r="H406" i="3" s="1"/>
  <c r="K406" i="3" s="1"/>
  <c r="AE406" i="3" s="1"/>
  <c r="F406" i="3" l="1"/>
  <c r="V406" i="3"/>
  <c r="A407" i="3"/>
  <c r="B407" i="3" s="1"/>
  <c r="I406" i="3"/>
  <c r="J406" i="3"/>
  <c r="M406" i="3"/>
  <c r="N406" i="3" s="1"/>
  <c r="AC407" i="3" l="1"/>
  <c r="Z407" i="3"/>
  <c r="P407" i="3"/>
  <c r="Q407" i="3" s="1"/>
  <c r="R407" i="3" s="1"/>
  <c r="S407" i="3" s="1"/>
  <c r="AA407" i="3"/>
  <c r="AD407" i="3"/>
  <c r="L406" i="3"/>
  <c r="W406" i="3"/>
  <c r="T407" i="3" l="1"/>
  <c r="AH407" i="3" s="1"/>
  <c r="U406" i="3"/>
  <c r="Y405" i="3"/>
  <c r="E407" i="3" l="1"/>
  <c r="H407" i="3" s="1"/>
  <c r="K407" i="3" s="1"/>
  <c r="AE407" i="3" s="1"/>
  <c r="AG407" i="3"/>
  <c r="D407" i="3"/>
  <c r="F407" i="3" l="1"/>
  <c r="G407" i="3"/>
  <c r="I407" i="3" s="1"/>
  <c r="V407" i="3"/>
  <c r="A408" i="3"/>
  <c r="B408" i="3" s="1"/>
  <c r="M407" i="3" l="1"/>
  <c r="N407" i="3" s="1"/>
  <c r="J407" i="3"/>
  <c r="L407" i="3" s="1"/>
  <c r="W407" i="3"/>
  <c r="P408" i="3"/>
  <c r="Q408" i="3" s="1"/>
  <c r="R408" i="3" s="1"/>
  <c r="S408" i="3" s="1"/>
  <c r="AD408" i="3"/>
  <c r="Z408" i="3"/>
  <c r="AA408" i="3"/>
  <c r="AC408" i="3"/>
  <c r="T408" i="3" l="1"/>
  <c r="AG408" i="3" s="1"/>
  <c r="U407" i="3"/>
  <c r="Y406" i="3"/>
  <c r="AH408" i="3" l="1"/>
  <c r="E408" i="3"/>
  <c r="H408" i="3" s="1"/>
  <c r="K408" i="3" s="1"/>
  <c r="AE408" i="3" s="1"/>
  <c r="D408" i="3"/>
  <c r="F408" i="3" l="1"/>
  <c r="G408" i="3"/>
  <c r="V408" i="3"/>
  <c r="A409" i="3"/>
  <c r="B409" i="3" s="1"/>
  <c r="P409" i="3" l="1"/>
  <c r="Q409" i="3" s="1"/>
  <c r="R409" i="3" s="1"/>
  <c r="S409" i="3" s="1"/>
  <c r="AA409" i="3"/>
  <c r="Z409" i="3"/>
  <c r="AD409" i="3"/>
  <c r="AC409" i="3"/>
  <c r="I408" i="3"/>
  <c r="W408" i="3" s="1"/>
  <c r="J408" i="3"/>
  <c r="M408" i="3"/>
  <c r="N408" i="3" s="1"/>
  <c r="L408" i="3" l="1"/>
  <c r="T409" i="3"/>
  <c r="AH409" i="3" l="1"/>
  <c r="U408" i="3"/>
  <c r="E409" i="3" s="1"/>
  <c r="H409" i="3" s="1"/>
  <c r="AG409" i="3"/>
  <c r="Y407" i="3"/>
  <c r="D409" i="3" l="1"/>
  <c r="G409" i="3" s="1"/>
  <c r="K409" i="3"/>
  <c r="AE409" i="3" s="1"/>
  <c r="F409" i="3" l="1"/>
  <c r="I409" i="3"/>
  <c r="J409" i="3"/>
  <c r="M409" i="3"/>
  <c r="N409" i="3" s="1"/>
  <c r="V409" i="3"/>
  <c r="A410" i="3"/>
  <c r="B410" i="3" s="1"/>
  <c r="W409" i="3" l="1"/>
  <c r="AA410" i="3"/>
  <c r="AC410" i="3"/>
  <c r="Z410" i="3"/>
  <c r="AD410" i="3"/>
  <c r="P410" i="3"/>
  <c r="Q410" i="3" s="1"/>
  <c r="R410" i="3" s="1"/>
  <c r="S410" i="3" s="1"/>
  <c r="L409" i="3"/>
  <c r="T410" i="3" l="1"/>
  <c r="AG410" i="3" s="1"/>
  <c r="U409" i="3"/>
  <c r="Y408" i="3"/>
  <c r="AH410" i="3" l="1"/>
  <c r="D410" i="3"/>
  <c r="G410" i="3" s="1"/>
  <c r="E410" i="3"/>
  <c r="H410" i="3" s="1"/>
  <c r="K410" i="3" s="1"/>
  <c r="AE410" i="3" s="1"/>
  <c r="F410" i="3" l="1"/>
  <c r="V410" i="3"/>
  <c r="A411" i="3"/>
  <c r="B411" i="3" s="1"/>
  <c r="I410" i="3"/>
  <c r="J410" i="3"/>
  <c r="M410" i="3"/>
  <c r="N410" i="3" s="1"/>
  <c r="L410" i="3" l="1"/>
  <c r="P411" i="3"/>
  <c r="Q411" i="3" s="1"/>
  <c r="R411" i="3" s="1"/>
  <c r="S411" i="3" s="1"/>
  <c r="AC411" i="3"/>
  <c r="Z411" i="3"/>
  <c r="AA411" i="3"/>
  <c r="AD411" i="3"/>
  <c r="W410" i="3"/>
  <c r="T411" i="3" l="1"/>
  <c r="AG411" i="3" s="1"/>
  <c r="U410" i="3"/>
  <c r="Y409" i="3"/>
  <c r="D411" i="3" l="1"/>
  <c r="G411" i="3" s="1"/>
  <c r="AH411" i="3"/>
  <c r="E411" i="3"/>
  <c r="H411" i="3" s="1"/>
  <c r="K411" i="3" s="1"/>
  <c r="AE411" i="3" s="1"/>
  <c r="F411" i="3" l="1"/>
  <c r="V411" i="3"/>
  <c r="A412" i="3"/>
  <c r="B412" i="3" s="1"/>
  <c r="I411" i="3"/>
  <c r="J411" i="3"/>
  <c r="M411" i="3"/>
  <c r="N411" i="3" s="1"/>
  <c r="AD412" i="3" l="1"/>
  <c r="AA412" i="3"/>
  <c r="AC412" i="3"/>
  <c r="Z412" i="3"/>
  <c r="P412" i="3"/>
  <c r="Q412" i="3" s="1"/>
  <c r="R412" i="3" s="1"/>
  <c r="S412" i="3" s="1"/>
  <c r="L411" i="3"/>
  <c r="W411" i="3"/>
  <c r="T412" i="3" l="1"/>
  <c r="AH412" i="3" s="1"/>
  <c r="U411" i="3"/>
  <c r="Y410" i="3"/>
  <c r="AG412" i="3" l="1"/>
  <c r="E412" i="3"/>
  <c r="H412" i="3" s="1"/>
  <c r="K412" i="3" s="1"/>
  <c r="AE412" i="3" s="1"/>
  <c r="D412" i="3"/>
  <c r="G412" i="3" s="1"/>
  <c r="F412" i="3" l="1"/>
  <c r="I412" i="3"/>
  <c r="J412" i="3"/>
  <c r="M412" i="3"/>
  <c r="N412" i="3" s="1"/>
  <c r="V412" i="3"/>
  <c r="A413" i="3"/>
  <c r="B413" i="3" s="1"/>
  <c r="W412" i="3" l="1"/>
  <c r="AA413" i="3"/>
  <c r="Z413" i="3"/>
  <c r="P413" i="3"/>
  <c r="Q413" i="3" s="1"/>
  <c r="R413" i="3" s="1"/>
  <c r="S413" i="3" s="1"/>
  <c r="AC413" i="3"/>
  <c r="AD413" i="3"/>
  <c r="L412" i="3"/>
  <c r="T413" i="3" l="1"/>
  <c r="AG413" i="3" s="1"/>
  <c r="U412" i="3"/>
  <c r="Y411" i="3"/>
  <c r="AH413" i="3" l="1"/>
  <c r="E413" i="3"/>
  <c r="H413" i="3" s="1"/>
  <c r="K413" i="3" s="1"/>
  <c r="AE413" i="3" s="1"/>
  <c r="D413" i="3"/>
  <c r="F413" i="3" l="1"/>
  <c r="G413" i="3"/>
  <c r="J413" i="3" s="1"/>
  <c r="V413" i="3"/>
  <c r="A414" i="3"/>
  <c r="B414" i="3" s="1"/>
  <c r="M413" i="3" l="1"/>
  <c r="N413" i="3" s="1"/>
  <c r="I413" i="3"/>
  <c r="W413" i="3" s="1"/>
  <c r="Z414" i="3"/>
  <c r="AA414" i="3"/>
  <c r="AC414" i="3"/>
  <c r="P414" i="3"/>
  <c r="Q414" i="3" s="1"/>
  <c r="R414" i="3" s="1"/>
  <c r="S414" i="3" s="1"/>
  <c r="L413" i="3"/>
  <c r="T414" i="3" l="1"/>
  <c r="AH414" i="3" s="1"/>
  <c r="U413" i="3"/>
  <c r="Y412" i="3"/>
  <c r="AG414" i="3" l="1"/>
  <c r="D414" i="3"/>
  <c r="G414" i="3" s="1"/>
  <c r="E414" i="3"/>
  <c r="H414" i="3" s="1"/>
  <c r="K414" i="3" s="1"/>
  <c r="AE414" i="3" s="1"/>
  <c r="F414" i="3" l="1"/>
  <c r="V414" i="3"/>
  <c r="A415" i="3"/>
  <c r="B415" i="3" s="1"/>
  <c r="I414" i="3"/>
  <c r="J414" i="3"/>
  <c r="AD414" i="3" s="1"/>
  <c r="M414" i="3"/>
  <c r="N414" i="3" s="1"/>
  <c r="L414" i="3" l="1"/>
  <c r="P415" i="3"/>
  <c r="Q415" i="3" s="1"/>
  <c r="R415" i="3" s="1"/>
  <c r="S415" i="3" s="1"/>
  <c r="AA415" i="3"/>
  <c r="Z415" i="3"/>
  <c r="AC415" i="3"/>
  <c r="AD415" i="3"/>
  <c r="W414" i="3"/>
  <c r="T415" i="3" l="1"/>
  <c r="AH415" i="3" s="1"/>
  <c r="U414" i="3"/>
  <c r="Y413" i="3"/>
  <c r="E415" i="3" l="1"/>
  <c r="H415" i="3" s="1"/>
  <c r="K415" i="3" s="1"/>
  <c r="AE415" i="3" s="1"/>
  <c r="AG415" i="3"/>
  <c r="D415" i="3"/>
  <c r="F415" i="3" l="1"/>
  <c r="G415" i="3"/>
  <c r="I415" i="3" s="1"/>
  <c r="V415" i="3"/>
  <c r="A416" i="3"/>
  <c r="B416" i="3" s="1"/>
  <c r="M415" i="3" l="1"/>
  <c r="N415" i="3" s="1"/>
  <c r="J415" i="3"/>
  <c r="L415" i="3" s="1"/>
  <c r="P416" i="3"/>
  <c r="Q416" i="3" s="1"/>
  <c r="R416" i="3" s="1"/>
  <c r="S416" i="3" s="1"/>
  <c r="AC416" i="3"/>
  <c r="Z416" i="3"/>
  <c r="AD416" i="3"/>
  <c r="AA416" i="3"/>
  <c r="W415" i="3"/>
  <c r="T416" i="3" l="1"/>
  <c r="AH416" i="3" s="1"/>
  <c r="U415" i="3"/>
  <c r="Y414" i="3"/>
  <c r="AG416" i="3" l="1"/>
  <c r="E416" i="3"/>
  <c r="H416" i="3" s="1"/>
  <c r="K416" i="3" s="1"/>
  <c r="AE416" i="3" s="1"/>
  <c r="D416" i="3"/>
  <c r="F416" i="3" l="1"/>
  <c r="G416" i="3"/>
  <c r="I416" i="3" s="1"/>
  <c r="V416" i="3"/>
  <c r="A417" i="3"/>
  <c r="B417" i="3" s="1"/>
  <c r="M416" i="3" l="1"/>
  <c r="N416" i="3" s="1"/>
  <c r="J416" i="3"/>
  <c r="L416" i="3" s="1"/>
  <c r="W416" i="3"/>
  <c r="AA417" i="3"/>
  <c r="AC417" i="3"/>
  <c r="AD417" i="3"/>
  <c r="Z417" i="3"/>
  <c r="P417" i="3"/>
  <c r="Q417" i="3" s="1"/>
  <c r="R417" i="3" s="1"/>
  <c r="S417" i="3" s="1"/>
  <c r="T417" i="3" l="1"/>
  <c r="AH417" i="3" s="1"/>
  <c r="U416" i="3"/>
  <c r="Y415" i="3"/>
  <c r="AG417" i="3" l="1"/>
  <c r="E417" i="3"/>
  <c r="H417" i="3" s="1"/>
  <c r="K417" i="3" s="1"/>
  <c r="AE417" i="3" s="1"/>
  <c r="D417" i="3"/>
  <c r="F417" i="3" l="1"/>
  <c r="G417" i="3"/>
  <c r="I417" i="3" s="1"/>
  <c r="V417" i="3"/>
  <c r="A418" i="3"/>
  <c r="B418" i="3" s="1"/>
  <c r="M417" i="3" l="1"/>
  <c r="N417" i="3" s="1"/>
  <c r="J417" i="3"/>
  <c r="L417" i="3" s="1"/>
  <c r="W417" i="3"/>
  <c r="AC418" i="3"/>
  <c r="AD418" i="3"/>
  <c r="P418" i="3"/>
  <c r="Q418" i="3" s="1"/>
  <c r="R418" i="3" s="1"/>
  <c r="S418" i="3" s="1"/>
  <c r="AA418" i="3"/>
  <c r="Z418" i="3"/>
  <c r="U417" i="3" l="1"/>
  <c r="Y416" i="3"/>
  <c r="T418" i="3"/>
  <c r="AG418" i="3" s="1"/>
  <c r="E418" i="3" l="1"/>
  <c r="H418" i="3" s="1"/>
  <c r="D418" i="3"/>
  <c r="AH418" i="3"/>
  <c r="F418" i="3" l="1"/>
  <c r="G418" i="3"/>
  <c r="K418" i="3"/>
  <c r="AE418" i="3" s="1"/>
  <c r="V418" i="3" l="1"/>
  <c r="A419" i="3"/>
  <c r="B419" i="3" s="1"/>
  <c r="I418" i="3"/>
  <c r="J418" i="3"/>
  <c r="M418" i="3"/>
  <c r="N418" i="3" s="1"/>
  <c r="L418" i="3" l="1"/>
  <c r="AD419" i="3"/>
  <c r="AC419" i="3"/>
  <c r="AA419" i="3"/>
  <c r="Z419" i="3"/>
  <c r="P419" i="3"/>
  <c r="Q419" i="3" s="1"/>
  <c r="R419" i="3" s="1"/>
  <c r="S419" i="3" s="1"/>
  <c r="W418" i="3"/>
  <c r="T419" i="3" l="1"/>
  <c r="AG419" i="3" s="1"/>
  <c r="U418" i="3"/>
  <c r="Y417" i="3"/>
  <c r="D419" i="3" l="1"/>
  <c r="G419" i="3" s="1"/>
  <c r="AH419" i="3"/>
  <c r="E419" i="3"/>
  <c r="H419" i="3" s="1"/>
  <c r="K419" i="3" s="1"/>
  <c r="AE419" i="3" s="1"/>
  <c r="F419" i="3" l="1"/>
  <c r="I419" i="3"/>
  <c r="J419" i="3"/>
  <c r="M419" i="3"/>
  <c r="N419" i="3" s="1"/>
  <c r="V419" i="3"/>
  <c r="A420" i="3"/>
  <c r="B420" i="3" s="1"/>
  <c r="W419" i="3" l="1"/>
  <c r="Z420" i="3"/>
  <c r="AC420" i="3"/>
  <c r="AA420" i="3"/>
  <c r="AD420" i="3"/>
  <c r="P420" i="3"/>
  <c r="Q420" i="3" s="1"/>
  <c r="R420" i="3" s="1"/>
  <c r="S420" i="3" s="1"/>
  <c r="L419" i="3"/>
  <c r="T420" i="3" l="1"/>
  <c r="AG420" i="3" s="1"/>
  <c r="U419" i="3"/>
  <c r="Y418" i="3"/>
  <c r="E420" i="3" l="1"/>
  <c r="H420" i="3" s="1"/>
  <c r="K420" i="3" s="1"/>
  <c r="AE420" i="3" s="1"/>
  <c r="AH420" i="3"/>
  <c r="D420" i="3"/>
  <c r="F420" i="3" l="1"/>
  <c r="G420" i="3"/>
  <c r="I420" i="3" s="1"/>
  <c r="V420" i="3"/>
  <c r="A421" i="3"/>
  <c r="B421" i="3" s="1"/>
  <c r="M420" i="3" l="1"/>
  <c r="N420" i="3" s="1"/>
  <c r="J420" i="3"/>
  <c r="L420" i="3" s="1"/>
  <c r="W420" i="3"/>
  <c r="Z421" i="3"/>
  <c r="P421" i="3"/>
  <c r="Q421" i="3" s="1"/>
  <c r="R421" i="3" s="1"/>
  <c r="S421" i="3" s="1"/>
  <c r="AD421" i="3"/>
  <c r="AA421" i="3"/>
  <c r="AC421" i="3"/>
  <c r="T421" i="3" l="1"/>
  <c r="AH421" i="3" s="1"/>
  <c r="U420" i="3"/>
  <c r="Y419" i="3"/>
  <c r="D421" i="3" l="1"/>
  <c r="G421" i="3" s="1"/>
  <c r="AG421" i="3"/>
  <c r="E421" i="3"/>
  <c r="H421" i="3" s="1"/>
  <c r="K421" i="3" s="1"/>
  <c r="AE421" i="3" s="1"/>
  <c r="F421" i="3" l="1"/>
  <c r="V421" i="3"/>
  <c r="A422" i="3"/>
  <c r="B422" i="3" s="1"/>
  <c r="I421" i="3"/>
  <c r="J421" i="3"/>
  <c r="M421" i="3"/>
  <c r="N421" i="3" s="1"/>
  <c r="L421" i="3" l="1"/>
  <c r="P422" i="3"/>
  <c r="Q422" i="3" s="1"/>
  <c r="R422" i="3" s="1"/>
  <c r="S422" i="3" s="1"/>
  <c r="AC422" i="3"/>
  <c r="AA422" i="3"/>
  <c r="AD422" i="3"/>
  <c r="Z422" i="3"/>
  <c r="W421" i="3"/>
  <c r="T422" i="3" l="1"/>
  <c r="AH422" i="3" s="1"/>
  <c r="U421" i="3"/>
  <c r="Y420" i="3"/>
  <c r="D422" i="3" l="1"/>
  <c r="G422" i="3" s="1"/>
  <c r="AG422" i="3"/>
  <c r="E422" i="3"/>
  <c r="H422" i="3" s="1"/>
  <c r="K422" i="3" l="1"/>
  <c r="AE422" i="3" s="1"/>
  <c r="I422" i="3"/>
  <c r="J422" i="3"/>
  <c r="M422" i="3"/>
  <c r="N422" i="3" s="1"/>
  <c r="F422" i="3"/>
  <c r="L422" i="3" l="1"/>
  <c r="V422" i="3"/>
  <c r="W422" i="3" s="1"/>
  <c r="A423" i="3"/>
  <c r="B423" i="3" s="1"/>
  <c r="AD423" i="3" l="1"/>
  <c r="P423" i="3"/>
  <c r="Q423" i="3" s="1"/>
  <c r="R423" i="3" s="1"/>
  <c r="S423" i="3" s="1"/>
  <c r="AA423" i="3"/>
  <c r="Z423" i="3"/>
  <c r="AC423" i="3"/>
  <c r="U422" i="3"/>
  <c r="Y421" i="3"/>
  <c r="T423" i="3" l="1"/>
  <c r="D423" i="3" s="1"/>
  <c r="E423" i="3" l="1"/>
  <c r="H423" i="3" s="1"/>
  <c r="K423" i="3" s="1"/>
  <c r="AE423" i="3" s="1"/>
  <c r="AH423" i="3"/>
  <c r="AG423" i="3"/>
  <c r="G423" i="3"/>
  <c r="F423" i="3" l="1"/>
  <c r="I423" i="3"/>
  <c r="J423" i="3"/>
  <c r="M423" i="3"/>
  <c r="N423" i="3" s="1"/>
  <c r="V423" i="3"/>
  <c r="A424" i="3"/>
  <c r="B424" i="3" s="1"/>
  <c r="W423" i="3" l="1"/>
  <c r="Z424" i="3"/>
  <c r="AC424" i="3"/>
  <c r="P424" i="3"/>
  <c r="Q424" i="3" s="1"/>
  <c r="R424" i="3" s="1"/>
  <c r="S424" i="3" s="1"/>
  <c r="AA424" i="3"/>
  <c r="L423" i="3"/>
  <c r="U423" i="3" l="1"/>
  <c r="Y422" i="3"/>
  <c r="T424" i="3"/>
  <c r="E424" i="3" l="1"/>
  <c r="H424" i="3" s="1"/>
  <c r="K424" i="3" s="1"/>
  <c r="AE424" i="3" s="1"/>
  <c r="D424" i="3"/>
  <c r="AG424" i="3"/>
  <c r="AH424" i="3"/>
  <c r="F424" i="3" l="1"/>
  <c r="G424" i="3"/>
  <c r="I424" i="3" s="1"/>
  <c r="V424" i="3"/>
  <c r="A425" i="3"/>
  <c r="B425" i="3" s="1"/>
  <c r="W424" i="3" l="1"/>
  <c r="M424" i="3"/>
  <c r="N424" i="3" s="1"/>
  <c r="J424" i="3"/>
  <c r="AC425" i="3"/>
  <c r="AD425" i="3"/>
  <c r="Z425" i="3"/>
  <c r="P425" i="3"/>
  <c r="Q425" i="3" s="1"/>
  <c r="R425" i="3" s="1"/>
  <c r="S425" i="3" s="1"/>
  <c r="AA425" i="3"/>
  <c r="L424" i="3" l="1"/>
  <c r="U424" i="3" s="1"/>
  <c r="AD424" i="3"/>
  <c r="T425" i="3"/>
  <c r="Y423" i="3" l="1"/>
  <c r="AH425" i="3"/>
  <c r="AG425" i="3"/>
  <c r="E425" i="3"/>
  <c r="H425" i="3" s="1"/>
  <c r="K425" i="3" s="1"/>
  <c r="AE425" i="3" s="1"/>
  <c r="D425" i="3"/>
  <c r="G425" i="3" s="1"/>
  <c r="F425" i="3" l="1"/>
  <c r="V425" i="3"/>
  <c r="A426" i="3"/>
  <c r="B426" i="3" s="1"/>
  <c r="I425" i="3"/>
  <c r="J425" i="3"/>
  <c r="M425" i="3"/>
  <c r="N425" i="3" s="1"/>
  <c r="P426" i="3" l="1"/>
  <c r="Q426" i="3" s="1"/>
  <c r="R426" i="3" s="1"/>
  <c r="S426" i="3" s="1"/>
  <c r="AC426" i="3"/>
  <c r="AA426" i="3"/>
  <c r="AD426" i="3"/>
  <c r="Z426" i="3"/>
  <c r="L425" i="3"/>
  <c r="W425" i="3"/>
  <c r="U425" i="3" l="1"/>
  <c r="Y424" i="3"/>
  <c r="T426" i="3"/>
  <c r="AH426" i="3" s="1"/>
  <c r="D426" i="3" l="1"/>
  <c r="AG426" i="3"/>
  <c r="E426" i="3"/>
  <c r="H426" i="3" s="1"/>
  <c r="K426" i="3" l="1"/>
  <c r="AE426" i="3" s="1"/>
  <c r="F426" i="3"/>
  <c r="G426" i="3"/>
  <c r="V426" i="3" l="1"/>
  <c r="A427" i="3"/>
  <c r="B427" i="3" s="1"/>
  <c r="I426" i="3"/>
  <c r="J426" i="3"/>
  <c r="M426" i="3"/>
  <c r="N426" i="3" s="1"/>
  <c r="L426" i="3" l="1"/>
  <c r="Z427" i="3"/>
  <c r="AA427" i="3"/>
  <c r="P427" i="3"/>
  <c r="Q427" i="3" s="1"/>
  <c r="R427" i="3" s="1"/>
  <c r="S427" i="3" s="1"/>
  <c r="AD427" i="3"/>
  <c r="AC427" i="3"/>
  <c r="W426" i="3"/>
  <c r="T427" i="3" l="1"/>
  <c r="AH427" i="3" s="1"/>
  <c r="U426" i="3"/>
  <c r="Y425" i="3"/>
  <c r="AG427" i="3" l="1"/>
  <c r="D427" i="3"/>
  <c r="G427" i="3" s="1"/>
  <c r="E427" i="3"/>
  <c r="H427" i="3" s="1"/>
  <c r="K427" i="3" s="1"/>
  <c r="AE427" i="3" s="1"/>
  <c r="F427" i="3" l="1"/>
  <c r="I427" i="3"/>
  <c r="J427" i="3"/>
  <c r="M427" i="3"/>
  <c r="N427" i="3" s="1"/>
  <c r="V427" i="3"/>
  <c r="A428" i="3"/>
  <c r="B428" i="3" s="1"/>
  <c r="W427" i="3" l="1"/>
  <c r="AA428" i="3"/>
  <c r="AD428" i="3"/>
  <c r="P428" i="3"/>
  <c r="Q428" i="3" s="1"/>
  <c r="R428" i="3" s="1"/>
  <c r="S428" i="3" s="1"/>
  <c r="Z428" i="3"/>
  <c r="AC428" i="3"/>
  <c r="L427" i="3"/>
  <c r="T428" i="3" l="1"/>
  <c r="AH428" i="3" s="1"/>
  <c r="U427" i="3"/>
  <c r="Y426" i="3"/>
  <c r="D428" i="3" l="1"/>
  <c r="G428" i="3" s="1"/>
  <c r="E428" i="3"/>
  <c r="H428" i="3" s="1"/>
  <c r="K428" i="3" s="1"/>
  <c r="AE428" i="3" s="1"/>
  <c r="AG428" i="3"/>
  <c r="F428" i="3" l="1"/>
  <c r="V428" i="3"/>
  <c r="A429" i="3"/>
  <c r="B429" i="3" s="1"/>
  <c r="I428" i="3"/>
  <c r="J428" i="3"/>
  <c r="M428" i="3"/>
  <c r="N428" i="3" s="1"/>
  <c r="P429" i="3" l="1"/>
  <c r="Q429" i="3" s="1"/>
  <c r="R429" i="3" s="1"/>
  <c r="S429" i="3" s="1"/>
  <c r="AC429" i="3"/>
  <c r="AD429" i="3"/>
  <c r="AA429" i="3"/>
  <c r="Z429" i="3"/>
  <c r="L428" i="3"/>
  <c r="W428" i="3"/>
  <c r="U428" i="3" l="1"/>
  <c r="Y427" i="3"/>
  <c r="T429" i="3"/>
  <c r="AG429" i="3" s="1"/>
  <c r="E429" i="3" l="1"/>
  <c r="H429" i="3" s="1"/>
  <c r="K429" i="3" s="1"/>
  <c r="AE429" i="3" s="1"/>
  <c r="AH429" i="3"/>
  <c r="D429" i="3"/>
  <c r="F429" i="3" l="1"/>
  <c r="G429" i="3"/>
  <c r="I429" i="3" s="1"/>
  <c r="V429" i="3"/>
  <c r="A430" i="3"/>
  <c r="B430" i="3" s="1"/>
  <c r="M429" i="3" l="1"/>
  <c r="N429" i="3" s="1"/>
  <c r="J429" i="3"/>
  <c r="L429" i="3" s="1"/>
  <c r="P430" i="3"/>
  <c r="Q430" i="3" s="1"/>
  <c r="R430" i="3" s="1"/>
  <c r="S430" i="3" s="1"/>
  <c r="AC430" i="3"/>
  <c r="AD430" i="3"/>
  <c r="AA430" i="3"/>
  <c r="Z430" i="3"/>
  <c r="W429" i="3"/>
  <c r="T430" i="3" l="1"/>
  <c r="AH430" i="3" s="1"/>
  <c r="U429" i="3"/>
  <c r="Y428" i="3"/>
  <c r="D430" i="3" l="1"/>
  <c r="G430" i="3" s="1"/>
  <c r="E430" i="3"/>
  <c r="H430" i="3" s="1"/>
  <c r="K430" i="3" s="1"/>
  <c r="AE430" i="3" s="1"/>
  <c r="AG430" i="3"/>
  <c r="F430" i="3" l="1"/>
  <c r="V430" i="3"/>
  <c r="A431" i="3"/>
  <c r="B431" i="3" s="1"/>
  <c r="I430" i="3"/>
  <c r="J430" i="3"/>
  <c r="M430" i="3"/>
  <c r="N430" i="3" s="1"/>
  <c r="AC431" i="3" l="1"/>
  <c r="Z431" i="3"/>
  <c r="P431" i="3"/>
  <c r="Q431" i="3" s="1"/>
  <c r="R431" i="3" s="1"/>
  <c r="S431" i="3" s="1"/>
  <c r="AD431" i="3"/>
  <c r="AA431" i="3"/>
  <c r="L430" i="3"/>
  <c r="W430" i="3"/>
  <c r="T431" i="3" l="1"/>
  <c r="AG431" i="3" s="1"/>
  <c r="U430" i="3"/>
  <c r="Y429" i="3"/>
  <c r="AH431" i="3" l="1"/>
  <c r="D431" i="3"/>
  <c r="G431" i="3" s="1"/>
  <c r="E431" i="3"/>
  <c r="H431" i="3" s="1"/>
  <c r="K431" i="3" l="1"/>
  <c r="AE431" i="3" s="1"/>
  <c r="I431" i="3"/>
  <c r="J431" i="3"/>
  <c r="M431" i="3"/>
  <c r="N431" i="3" s="1"/>
  <c r="F431" i="3"/>
  <c r="L431" i="3" l="1"/>
  <c r="V431" i="3"/>
  <c r="W431" i="3" s="1"/>
  <c r="A432" i="3"/>
  <c r="B432" i="3" s="1"/>
  <c r="AC432" i="3" l="1"/>
  <c r="Z432" i="3"/>
  <c r="AD432" i="3"/>
  <c r="AA432" i="3"/>
  <c r="P432" i="3"/>
  <c r="Q432" i="3" s="1"/>
  <c r="R432" i="3" s="1"/>
  <c r="S432" i="3" s="1"/>
  <c r="U431" i="3"/>
  <c r="Y430" i="3"/>
  <c r="T432" i="3" l="1"/>
  <c r="E432" i="3" s="1"/>
  <c r="H432" i="3" s="1"/>
  <c r="AH432" i="3" l="1"/>
  <c r="D432" i="3"/>
  <c r="F432" i="3" s="1"/>
  <c r="AG432" i="3"/>
  <c r="K432" i="3"/>
  <c r="AE432" i="3" s="1"/>
  <c r="G432" i="3" l="1"/>
  <c r="I432" i="3" s="1"/>
  <c r="V432" i="3"/>
  <c r="A433" i="3"/>
  <c r="B433" i="3" s="1"/>
  <c r="M432" i="3" l="1"/>
  <c r="N432" i="3" s="1"/>
  <c r="J432" i="3"/>
  <c r="L432" i="3" s="1"/>
  <c r="W432" i="3"/>
  <c r="AA433" i="3"/>
  <c r="P433" i="3"/>
  <c r="Q433" i="3" s="1"/>
  <c r="R433" i="3" s="1"/>
  <c r="S433" i="3" s="1"/>
  <c r="AD433" i="3"/>
  <c r="AC433" i="3"/>
  <c r="Z433" i="3"/>
  <c r="T433" i="3" l="1"/>
  <c r="AG433" i="3" s="1"/>
  <c r="U432" i="3"/>
  <c r="Y431" i="3"/>
  <c r="E433" i="3" l="1"/>
  <c r="H433" i="3" s="1"/>
  <c r="K433" i="3" s="1"/>
  <c r="AE433" i="3" s="1"/>
  <c r="AH433" i="3"/>
  <c r="D433" i="3"/>
  <c r="F433" i="3" l="1"/>
  <c r="G433" i="3"/>
  <c r="V433" i="3"/>
  <c r="A434" i="3"/>
  <c r="B434" i="3" s="1"/>
  <c r="AA434" i="3" l="1"/>
  <c r="AC434" i="3"/>
  <c r="P434" i="3"/>
  <c r="Q434" i="3" s="1"/>
  <c r="R434" i="3" s="1"/>
  <c r="S434" i="3" s="1"/>
  <c r="Z434" i="3"/>
  <c r="I433" i="3"/>
  <c r="W433" i="3" s="1"/>
  <c r="J433" i="3"/>
  <c r="M433" i="3"/>
  <c r="N433" i="3" s="1"/>
  <c r="T434" i="3" l="1"/>
  <c r="L433" i="3"/>
  <c r="U433" i="3" l="1"/>
  <c r="D434" i="3" s="1"/>
  <c r="AH434" i="3"/>
  <c r="AG434" i="3"/>
  <c r="Y432" i="3"/>
  <c r="E434" i="3" l="1"/>
  <c r="H434" i="3" s="1"/>
  <c r="K434" i="3" s="1"/>
  <c r="AE434" i="3" s="1"/>
  <c r="G434" i="3"/>
  <c r="F434" i="3" l="1"/>
  <c r="I434" i="3"/>
  <c r="J434" i="3"/>
  <c r="AD434" i="3" s="1"/>
  <c r="M434" i="3"/>
  <c r="N434" i="3" s="1"/>
  <c r="V434" i="3"/>
  <c r="A435" i="3"/>
  <c r="B435" i="3" s="1"/>
  <c r="W434" i="3" l="1"/>
  <c r="P435" i="3"/>
  <c r="Q435" i="3" s="1"/>
  <c r="R435" i="3" s="1"/>
  <c r="S435" i="3" s="1"/>
  <c r="AD435" i="3"/>
  <c r="AC435" i="3"/>
  <c r="Z435" i="3"/>
  <c r="AA435" i="3"/>
  <c r="L434" i="3"/>
  <c r="T435" i="3" l="1"/>
  <c r="AH435" i="3" s="1"/>
  <c r="U434" i="3"/>
  <c r="Y433" i="3"/>
  <c r="E435" i="3" l="1"/>
  <c r="H435" i="3" s="1"/>
  <c r="K435" i="3" s="1"/>
  <c r="AE435" i="3" s="1"/>
  <c r="D435" i="3"/>
  <c r="AG435" i="3"/>
  <c r="F435" i="3" l="1"/>
  <c r="G435" i="3"/>
  <c r="J435" i="3" s="1"/>
  <c r="V435" i="3"/>
  <c r="A436" i="3"/>
  <c r="B436" i="3" s="1"/>
  <c r="M435" i="3" l="1"/>
  <c r="N435" i="3" s="1"/>
  <c r="I435" i="3"/>
  <c r="W435" i="3" s="1"/>
  <c r="L435" i="3"/>
  <c r="AA436" i="3"/>
  <c r="AD436" i="3"/>
  <c r="AC436" i="3"/>
  <c r="P436" i="3"/>
  <c r="Q436" i="3" s="1"/>
  <c r="R436" i="3" s="1"/>
  <c r="S436" i="3" s="1"/>
  <c r="Z436" i="3"/>
  <c r="T436" i="3" l="1"/>
  <c r="U435" i="3"/>
  <c r="Y434" i="3"/>
  <c r="E436" i="3" l="1"/>
  <c r="H436" i="3" s="1"/>
  <c r="K436" i="3" s="1"/>
  <c r="AE436" i="3" s="1"/>
  <c r="AH436" i="3"/>
  <c r="AG436" i="3"/>
  <c r="D436" i="3"/>
  <c r="G436" i="3" s="1"/>
  <c r="F436" i="3" l="1"/>
  <c r="V436" i="3"/>
  <c r="A437" i="3"/>
  <c r="B437" i="3" s="1"/>
  <c r="I436" i="3"/>
  <c r="J436" i="3"/>
  <c r="M436" i="3"/>
  <c r="N436" i="3" s="1"/>
  <c r="P437" i="3" l="1"/>
  <c r="Q437" i="3" s="1"/>
  <c r="R437" i="3" s="1"/>
  <c r="S437" i="3" s="1"/>
  <c r="AD437" i="3"/>
  <c r="Z437" i="3"/>
  <c r="AC437" i="3"/>
  <c r="AA437" i="3"/>
  <c r="L436" i="3"/>
  <c r="W436" i="3"/>
  <c r="T437" i="3" l="1"/>
  <c r="AH437" i="3" s="1"/>
  <c r="U436" i="3"/>
  <c r="Y435" i="3"/>
  <c r="D437" i="3" l="1"/>
  <c r="G437" i="3" s="1"/>
  <c r="AG437" i="3"/>
  <c r="E437" i="3"/>
  <c r="H437" i="3" s="1"/>
  <c r="K437" i="3" s="1"/>
  <c r="AE437" i="3" s="1"/>
  <c r="F437" i="3" l="1"/>
  <c r="I437" i="3"/>
  <c r="J437" i="3"/>
  <c r="M437" i="3"/>
  <c r="N437" i="3" s="1"/>
  <c r="V437" i="3"/>
  <c r="A438" i="3"/>
  <c r="B438" i="3" s="1"/>
  <c r="W437" i="3" l="1"/>
  <c r="AA438" i="3"/>
  <c r="AD438" i="3"/>
  <c r="Z438" i="3"/>
  <c r="AC438" i="3"/>
  <c r="P438" i="3"/>
  <c r="Q438" i="3" s="1"/>
  <c r="R438" i="3" s="1"/>
  <c r="S438" i="3" s="1"/>
  <c r="L437" i="3"/>
  <c r="T438" i="3" l="1"/>
  <c r="AH438" i="3" s="1"/>
  <c r="U437" i="3"/>
  <c r="Y436" i="3"/>
  <c r="D438" i="3" l="1"/>
  <c r="G438" i="3" s="1"/>
  <c r="AG438" i="3"/>
  <c r="E438" i="3"/>
  <c r="H438" i="3" s="1"/>
  <c r="K438" i="3" s="1"/>
  <c r="AE438" i="3" s="1"/>
  <c r="F438" i="3" l="1"/>
  <c r="I438" i="3"/>
  <c r="J438" i="3"/>
  <c r="M438" i="3"/>
  <c r="N438" i="3" s="1"/>
  <c r="V438" i="3"/>
  <c r="A439" i="3"/>
  <c r="B439" i="3" s="1"/>
  <c r="W438" i="3" l="1"/>
  <c r="P439" i="3"/>
  <c r="Q439" i="3" s="1"/>
  <c r="R439" i="3" s="1"/>
  <c r="S439" i="3" s="1"/>
  <c r="AA439" i="3"/>
  <c r="AD439" i="3"/>
  <c r="AC439" i="3"/>
  <c r="Z439" i="3"/>
  <c r="L438" i="3"/>
  <c r="T439" i="3" l="1"/>
  <c r="AG439" i="3" s="1"/>
  <c r="U438" i="3"/>
  <c r="Y437" i="3"/>
  <c r="D439" i="3" l="1"/>
  <c r="G439" i="3" s="1"/>
  <c r="E439" i="3"/>
  <c r="H439" i="3" s="1"/>
  <c r="K439" i="3" s="1"/>
  <c r="AE439" i="3" s="1"/>
  <c r="AH439" i="3"/>
  <c r="F439" i="3" l="1"/>
  <c r="I439" i="3"/>
  <c r="J439" i="3"/>
  <c r="M439" i="3"/>
  <c r="N439" i="3" s="1"/>
  <c r="V439" i="3"/>
  <c r="A440" i="3"/>
  <c r="B440" i="3" s="1"/>
  <c r="W439" i="3" l="1"/>
  <c r="AA440" i="3"/>
  <c r="AC440" i="3"/>
  <c r="AD440" i="3"/>
  <c r="Z440" i="3"/>
  <c r="P440" i="3"/>
  <c r="Q440" i="3" s="1"/>
  <c r="R440" i="3" s="1"/>
  <c r="S440" i="3" s="1"/>
  <c r="L439" i="3"/>
  <c r="T440" i="3" l="1"/>
  <c r="AG440" i="3" s="1"/>
  <c r="U439" i="3"/>
  <c r="Y438" i="3"/>
  <c r="AH440" i="3" l="1"/>
  <c r="D440" i="3"/>
  <c r="G440" i="3" s="1"/>
  <c r="E440" i="3"/>
  <c r="H440" i="3" s="1"/>
  <c r="K440" i="3" s="1"/>
  <c r="AE440" i="3" s="1"/>
  <c r="F440" i="3" l="1"/>
  <c r="V440" i="3"/>
  <c r="A441" i="3"/>
  <c r="B441" i="3" s="1"/>
  <c r="I440" i="3"/>
  <c r="J440" i="3"/>
  <c r="M440" i="3"/>
  <c r="N440" i="3" s="1"/>
  <c r="L440" i="3" l="1"/>
  <c r="P441" i="3"/>
  <c r="Q441" i="3" s="1"/>
  <c r="R441" i="3" s="1"/>
  <c r="S441" i="3" s="1"/>
  <c r="AD441" i="3"/>
  <c r="AC441" i="3"/>
  <c r="Z441" i="3"/>
  <c r="AA441" i="3"/>
  <c r="W440" i="3"/>
  <c r="T441" i="3" l="1"/>
  <c r="AG441" i="3" s="1"/>
  <c r="U440" i="3"/>
  <c r="Y439" i="3"/>
  <c r="D441" i="3" l="1"/>
  <c r="G441" i="3" s="1"/>
  <c r="AH441" i="3"/>
  <c r="E441" i="3"/>
  <c r="H441" i="3" s="1"/>
  <c r="K441" i="3" s="1"/>
  <c r="AE441" i="3" s="1"/>
  <c r="F441" i="3" l="1"/>
  <c r="V441" i="3"/>
  <c r="A442" i="3"/>
  <c r="B442" i="3" s="1"/>
  <c r="I441" i="3"/>
  <c r="J441" i="3"/>
  <c r="M441" i="3"/>
  <c r="N441" i="3" s="1"/>
  <c r="AA442" i="3" l="1"/>
  <c r="P442" i="3"/>
  <c r="Q442" i="3" s="1"/>
  <c r="R442" i="3" s="1"/>
  <c r="S442" i="3" s="1"/>
  <c r="AD442" i="3"/>
  <c r="Z442" i="3"/>
  <c r="AC442" i="3"/>
  <c r="L441" i="3"/>
  <c r="W441" i="3"/>
  <c r="T442" i="3" l="1"/>
  <c r="AG442" i="3" s="1"/>
  <c r="U441" i="3"/>
  <c r="Y440" i="3"/>
  <c r="AH442" i="3" l="1"/>
  <c r="E442" i="3"/>
  <c r="H442" i="3" s="1"/>
  <c r="K442" i="3" s="1"/>
  <c r="AE442" i="3" s="1"/>
  <c r="D442" i="3"/>
  <c r="F442" i="3" l="1"/>
  <c r="G442" i="3"/>
  <c r="I442" i="3" s="1"/>
  <c r="V442" i="3"/>
  <c r="A443" i="3"/>
  <c r="B443" i="3" s="1"/>
  <c r="M442" i="3" l="1"/>
  <c r="N442" i="3" s="1"/>
  <c r="J442" i="3"/>
  <c r="L442" i="3" s="1"/>
  <c r="Z443" i="3"/>
  <c r="P443" i="3"/>
  <c r="Q443" i="3" s="1"/>
  <c r="R443" i="3" s="1"/>
  <c r="S443" i="3" s="1"/>
  <c r="AA443" i="3"/>
  <c r="AD443" i="3"/>
  <c r="AC443" i="3"/>
  <c r="W442" i="3"/>
  <c r="T443" i="3" l="1"/>
  <c r="AH443" i="3" s="1"/>
  <c r="U442" i="3"/>
  <c r="Y441" i="3"/>
  <c r="E443" i="3" l="1"/>
  <c r="H443" i="3" s="1"/>
  <c r="K443" i="3" s="1"/>
  <c r="AE443" i="3" s="1"/>
  <c r="AG443" i="3"/>
  <c r="D443" i="3"/>
  <c r="F443" i="3" l="1"/>
  <c r="G443" i="3"/>
  <c r="I443" i="3" s="1"/>
  <c r="V443" i="3"/>
  <c r="A444" i="3"/>
  <c r="B444" i="3" s="1"/>
  <c r="M443" i="3" l="1"/>
  <c r="N443" i="3" s="1"/>
  <c r="J443" i="3"/>
  <c r="L443" i="3" s="1"/>
  <c r="Z444" i="3"/>
  <c r="P444" i="3"/>
  <c r="Q444" i="3" s="1"/>
  <c r="R444" i="3" s="1"/>
  <c r="S444" i="3" s="1"/>
  <c r="AC444" i="3"/>
  <c r="AA444" i="3"/>
  <c r="W443" i="3"/>
  <c r="T444" i="3" l="1"/>
  <c r="AG444" i="3" s="1"/>
  <c r="U443" i="3"/>
  <c r="Y442" i="3"/>
  <c r="AH444" i="3" l="1"/>
  <c r="D444" i="3"/>
  <c r="G444" i="3" s="1"/>
  <c r="E444" i="3"/>
  <c r="H444" i="3" s="1"/>
  <c r="K444" i="3" l="1"/>
  <c r="AE444" i="3" s="1"/>
  <c r="I444" i="3"/>
  <c r="J444" i="3"/>
  <c r="AD444" i="3" s="1"/>
  <c r="M444" i="3"/>
  <c r="N444" i="3" s="1"/>
  <c r="F444" i="3"/>
  <c r="L444" i="3" l="1"/>
  <c r="V444" i="3"/>
  <c r="W444" i="3" s="1"/>
  <c r="A445" i="3"/>
  <c r="B445" i="3" s="1"/>
  <c r="Z445" i="3" l="1"/>
  <c r="AC445" i="3"/>
  <c r="AA445" i="3"/>
  <c r="P445" i="3"/>
  <c r="Q445" i="3" s="1"/>
  <c r="R445" i="3" s="1"/>
  <c r="S445" i="3" s="1"/>
  <c r="AD445" i="3"/>
  <c r="U444" i="3"/>
  <c r="Y443" i="3"/>
  <c r="T445" i="3" l="1"/>
  <c r="D445" i="3" s="1"/>
  <c r="E445" i="3" l="1"/>
  <c r="H445" i="3" s="1"/>
  <c r="K445" i="3" s="1"/>
  <c r="AE445" i="3" s="1"/>
  <c r="AG445" i="3"/>
  <c r="AH445" i="3"/>
  <c r="G445" i="3"/>
  <c r="F445" i="3" l="1"/>
  <c r="I445" i="3"/>
  <c r="J445" i="3"/>
  <c r="M445" i="3"/>
  <c r="N445" i="3" s="1"/>
  <c r="V445" i="3"/>
  <c r="W445" i="3" s="1"/>
  <c r="A446" i="3"/>
  <c r="B446" i="3" s="1"/>
  <c r="Z446" i="3" l="1"/>
  <c r="AA446" i="3"/>
  <c r="AD446" i="3"/>
  <c r="AC446" i="3"/>
  <c r="P446" i="3"/>
  <c r="Q446" i="3" s="1"/>
  <c r="R446" i="3" s="1"/>
  <c r="S446" i="3" s="1"/>
  <c r="L445" i="3"/>
  <c r="T446" i="3" l="1"/>
  <c r="AH446" i="3" s="1"/>
  <c r="U445" i="3"/>
  <c r="Y444" i="3"/>
  <c r="AG446" i="3" l="1"/>
  <c r="E446" i="3"/>
  <c r="H446" i="3" s="1"/>
  <c r="K446" i="3" s="1"/>
  <c r="AE446" i="3" s="1"/>
  <c r="D446" i="3"/>
  <c r="F446" i="3" l="1"/>
  <c r="G446" i="3"/>
  <c r="I446" i="3" s="1"/>
  <c r="V446" i="3"/>
  <c r="A447" i="3"/>
  <c r="B447" i="3" s="1"/>
  <c r="M446" i="3" l="1"/>
  <c r="N446" i="3" s="1"/>
  <c r="J446" i="3"/>
  <c r="L446" i="3" s="1"/>
  <c r="AA447" i="3"/>
  <c r="AD447" i="3"/>
  <c r="Z447" i="3"/>
  <c r="AC447" i="3"/>
  <c r="P447" i="3"/>
  <c r="Q447" i="3" s="1"/>
  <c r="R447" i="3" s="1"/>
  <c r="S447" i="3" s="1"/>
  <c r="W446" i="3"/>
  <c r="T447" i="3" l="1"/>
  <c r="AG447" i="3" s="1"/>
  <c r="U446" i="3"/>
  <c r="Y445" i="3"/>
  <c r="D447" i="3" l="1"/>
  <c r="G447" i="3" s="1"/>
  <c r="AH447" i="3"/>
  <c r="E447" i="3"/>
  <c r="H447" i="3" s="1"/>
  <c r="K447" i="3" s="1"/>
  <c r="AE447" i="3" s="1"/>
  <c r="F447" i="3" l="1"/>
  <c r="V447" i="3"/>
  <c r="A448" i="3"/>
  <c r="B448" i="3" s="1"/>
  <c r="I447" i="3"/>
  <c r="J447" i="3"/>
  <c r="M447" i="3"/>
  <c r="N447" i="3" s="1"/>
  <c r="L447" i="3" l="1"/>
  <c r="P448" i="3"/>
  <c r="Q448" i="3" s="1"/>
  <c r="R448" i="3" s="1"/>
  <c r="S448" i="3" s="1"/>
  <c r="Z448" i="3"/>
  <c r="AA448" i="3"/>
  <c r="AD448" i="3"/>
  <c r="AC448" i="3"/>
  <c r="W447" i="3"/>
  <c r="T448" i="3" l="1"/>
  <c r="AG448" i="3" s="1"/>
  <c r="U447" i="3"/>
  <c r="Y446" i="3"/>
  <c r="D448" i="3" l="1"/>
  <c r="G448" i="3" s="1"/>
  <c r="AH448" i="3"/>
  <c r="E448" i="3"/>
  <c r="H448" i="3" s="1"/>
  <c r="K448" i="3" s="1"/>
  <c r="AE448" i="3" s="1"/>
  <c r="F448" i="3" l="1"/>
  <c r="V448" i="3"/>
  <c r="A449" i="3"/>
  <c r="B449" i="3" s="1"/>
  <c r="I448" i="3"/>
  <c r="J448" i="3"/>
  <c r="M448" i="3"/>
  <c r="N448" i="3" s="1"/>
  <c r="L448" i="3" l="1"/>
  <c r="AD449" i="3"/>
  <c r="AA449" i="3"/>
  <c r="Z449" i="3"/>
  <c r="P449" i="3"/>
  <c r="Q449" i="3" s="1"/>
  <c r="R449" i="3" s="1"/>
  <c r="S449" i="3" s="1"/>
  <c r="AC449" i="3"/>
  <c r="W448" i="3"/>
  <c r="T449" i="3" l="1"/>
  <c r="AH449" i="3" s="1"/>
  <c r="U448" i="3"/>
  <c r="Y447" i="3"/>
  <c r="E449" i="3" l="1"/>
  <c r="H449" i="3" s="1"/>
  <c r="K449" i="3" s="1"/>
  <c r="AE449" i="3" s="1"/>
  <c r="D449" i="3"/>
  <c r="G449" i="3" s="1"/>
  <c r="AG449" i="3"/>
  <c r="F449" i="3" l="1"/>
  <c r="I449" i="3"/>
  <c r="J449" i="3"/>
  <c r="M449" i="3"/>
  <c r="N449" i="3" s="1"/>
  <c r="V449" i="3"/>
  <c r="A450" i="3"/>
  <c r="B450" i="3" s="1"/>
  <c r="W449" i="3" l="1"/>
  <c r="Z450" i="3"/>
  <c r="AC450" i="3"/>
  <c r="AA450" i="3"/>
  <c r="AD450" i="3"/>
  <c r="P450" i="3"/>
  <c r="Q450" i="3" s="1"/>
  <c r="R450" i="3" s="1"/>
  <c r="S450" i="3" s="1"/>
  <c r="L449" i="3"/>
  <c r="T450" i="3" l="1"/>
  <c r="U449" i="3"/>
  <c r="Y448" i="3"/>
  <c r="E450" i="3" l="1"/>
  <c r="H450" i="3" s="1"/>
  <c r="K450" i="3" s="1"/>
  <c r="AE450" i="3" s="1"/>
  <c r="AH450" i="3"/>
  <c r="D450" i="3"/>
  <c r="G450" i="3" s="1"/>
  <c r="AG450" i="3"/>
  <c r="F450" i="3" l="1"/>
  <c r="I450" i="3"/>
  <c r="J450" i="3"/>
  <c r="M450" i="3"/>
  <c r="N450" i="3" s="1"/>
  <c r="V450" i="3"/>
  <c r="A451" i="3"/>
  <c r="B451" i="3" s="1"/>
  <c r="W450" i="3" l="1"/>
  <c r="P451" i="3"/>
  <c r="Q451" i="3" s="1"/>
  <c r="R451" i="3" s="1"/>
  <c r="S451" i="3" s="1"/>
  <c r="AC451" i="3"/>
  <c r="AD451" i="3"/>
  <c r="AA451" i="3"/>
  <c r="Z451" i="3"/>
  <c r="L450" i="3"/>
  <c r="U450" i="3" l="1"/>
  <c r="Y449" i="3"/>
  <c r="T451" i="3"/>
  <c r="AH451" i="3" s="1"/>
  <c r="D451" i="3" l="1"/>
  <c r="AG451" i="3"/>
  <c r="E451" i="3"/>
  <c r="H451" i="3" s="1"/>
  <c r="K451" i="3" l="1"/>
  <c r="AE451" i="3" s="1"/>
  <c r="F451" i="3"/>
  <c r="G451" i="3"/>
  <c r="I451" i="3" l="1"/>
  <c r="J451" i="3"/>
  <c r="M451" i="3"/>
  <c r="N451" i="3" s="1"/>
  <c r="V451" i="3"/>
  <c r="A452" i="3"/>
  <c r="B452" i="3" s="1"/>
  <c r="W451" i="3" l="1"/>
  <c r="AD452" i="3"/>
  <c r="AA452" i="3"/>
  <c r="AC452" i="3"/>
  <c r="Z452" i="3"/>
  <c r="P452" i="3"/>
  <c r="Q452" i="3" s="1"/>
  <c r="R452" i="3" s="1"/>
  <c r="S452" i="3" s="1"/>
  <c r="L451" i="3"/>
  <c r="T452" i="3" l="1"/>
  <c r="AH452" i="3" s="1"/>
  <c r="U451" i="3"/>
  <c r="Y450" i="3"/>
  <c r="D452" i="3" l="1"/>
  <c r="G452" i="3" s="1"/>
  <c r="AG452" i="3"/>
  <c r="E452" i="3"/>
  <c r="H452" i="3" s="1"/>
  <c r="K452" i="3" l="1"/>
  <c r="AE452" i="3" s="1"/>
  <c r="I452" i="3"/>
  <c r="J452" i="3"/>
  <c r="M452" i="3"/>
  <c r="N452" i="3" s="1"/>
  <c r="F452" i="3"/>
  <c r="L452" i="3" l="1"/>
  <c r="V452" i="3"/>
  <c r="W452" i="3" s="1"/>
  <c r="A453" i="3"/>
  <c r="B453" i="3" s="1"/>
  <c r="AA453" i="3" l="1"/>
  <c r="Z453" i="3"/>
  <c r="AD453" i="3"/>
  <c r="P453" i="3"/>
  <c r="Q453" i="3" s="1"/>
  <c r="R453" i="3" s="1"/>
  <c r="S453" i="3" s="1"/>
  <c r="AC453" i="3"/>
  <c r="U452" i="3"/>
  <c r="Y451" i="3"/>
  <c r="T453" i="3" l="1"/>
  <c r="AG453" i="3" s="1"/>
  <c r="AH453" i="3" l="1"/>
  <c r="D453" i="3"/>
  <c r="G453" i="3" s="1"/>
  <c r="E453" i="3"/>
  <c r="H453" i="3" s="1"/>
  <c r="K453" i="3" s="1"/>
  <c r="AE453" i="3" s="1"/>
  <c r="F453" i="3" l="1"/>
  <c r="V453" i="3"/>
  <c r="A454" i="3"/>
  <c r="B454" i="3" s="1"/>
  <c r="I453" i="3"/>
  <c r="J453" i="3"/>
  <c r="M453" i="3"/>
  <c r="N453" i="3" s="1"/>
  <c r="L453" i="3" l="1"/>
  <c r="Z454" i="3"/>
  <c r="AC454" i="3"/>
  <c r="P454" i="3"/>
  <c r="Q454" i="3" s="1"/>
  <c r="R454" i="3" s="1"/>
  <c r="S454" i="3" s="1"/>
  <c r="AA454" i="3"/>
  <c r="W453" i="3"/>
  <c r="T454" i="3" l="1"/>
  <c r="AG454" i="3" s="1"/>
  <c r="U453" i="3"/>
  <c r="Y452" i="3"/>
  <c r="D454" i="3" l="1"/>
  <c r="G454" i="3" s="1"/>
  <c r="AH454" i="3"/>
  <c r="E454" i="3"/>
  <c r="H454" i="3" s="1"/>
  <c r="K454" i="3" s="1"/>
  <c r="AE454" i="3" s="1"/>
  <c r="F454" i="3" l="1"/>
  <c r="V454" i="3"/>
  <c r="A455" i="3"/>
  <c r="B455" i="3" s="1"/>
  <c r="I454" i="3"/>
  <c r="J454" i="3"/>
  <c r="AD454" i="3" s="1"/>
  <c r="M454" i="3"/>
  <c r="N454" i="3" s="1"/>
  <c r="AA455" i="3" l="1"/>
  <c r="Z455" i="3"/>
  <c r="AC455" i="3"/>
  <c r="P455" i="3"/>
  <c r="Q455" i="3" s="1"/>
  <c r="R455" i="3" s="1"/>
  <c r="S455" i="3" s="1"/>
  <c r="AD455" i="3"/>
  <c r="L454" i="3"/>
  <c r="W454" i="3"/>
  <c r="T455" i="3" l="1"/>
  <c r="AH455" i="3" s="1"/>
  <c r="U454" i="3"/>
  <c r="Y453" i="3"/>
  <c r="E455" i="3" l="1"/>
  <c r="H455" i="3" s="1"/>
  <c r="K455" i="3" s="1"/>
  <c r="AE455" i="3" s="1"/>
  <c r="AG455" i="3"/>
  <c r="D455" i="3"/>
  <c r="G455" i="3" s="1"/>
  <c r="F455" i="3" l="1"/>
  <c r="I455" i="3"/>
  <c r="J455" i="3"/>
  <c r="M455" i="3"/>
  <c r="N455" i="3" s="1"/>
  <c r="V455" i="3"/>
  <c r="A456" i="3"/>
  <c r="B456" i="3" s="1"/>
  <c r="W455" i="3" l="1"/>
  <c r="AA456" i="3"/>
  <c r="AC456" i="3"/>
  <c r="AD456" i="3"/>
  <c r="Z456" i="3"/>
  <c r="P456" i="3"/>
  <c r="Q456" i="3" s="1"/>
  <c r="R456" i="3" s="1"/>
  <c r="S456" i="3" s="1"/>
  <c r="L455" i="3"/>
  <c r="T456" i="3" l="1"/>
  <c r="AG456" i="3" s="1"/>
  <c r="U455" i="3"/>
  <c r="Y454" i="3"/>
  <c r="AH456" i="3" l="1"/>
  <c r="D456" i="3"/>
  <c r="G456" i="3" s="1"/>
  <c r="E456" i="3"/>
  <c r="H456" i="3" s="1"/>
  <c r="K456" i="3" s="1"/>
  <c r="AE456" i="3" s="1"/>
  <c r="F456" i="3" l="1"/>
  <c r="V456" i="3"/>
  <c r="A457" i="3"/>
  <c r="B457" i="3" s="1"/>
  <c r="I456" i="3"/>
  <c r="J456" i="3"/>
  <c r="M456" i="3"/>
  <c r="N456" i="3" s="1"/>
  <c r="AD457" i="3" l="1"/>
  <c r="AA457" i="3"/>
  <c r="AC457" i="3"/>
  <c r="P457" i="3"/>
  <c r="Q457" i="3" s="1"/>
  <c r="R457" i="3" s="1"/>
  <c r="S457" i="3" s="1"/>
  <c r="Z457" i="3"/>
  <c r="L456" i="3"/>
  <c r="W456" i="3"/>
  <c r="T457" i="3" l="1"/>
  <c r="AH457" i="3" s="1"/>
  <c r="U456" i="3"/>
  <c r="Y455" i="3"/>
  <c r="E457" i="3" l="1"/>
  <c r="H457" i="3" s="1"/>
  <c r="K457" i="3" s="1"/>
  <c r="AE457" i="3" s="1"/>
  <c r="D457" i="3"/>
  <c r="AG457" i="3"/>
  <c r="F457" i="3" l="1"/>
  <c r="G457" i="3"/>
  <c r="I457" i="3" s="1"/>
  <c r="V457" i="3"/>
  <c r="A458" i="3"/>
  <c r="B458" i="3" s="1"/>
  <c r="J457" i="3" l="1"/>
  <c r="L457" i="3" s="1"/>
  <c r="M457" i="3"/>
  <c r="N457" i="3" s="1"/>
  <c r="AA458" i="3"/>
  <c r="P458" i="3"/>
  <c r="Q458" i="3" s="1"/>
  <c r="R458" i="3" s="1"/>
  <c r="S458" i="3" s="1"/>
  <c r="Z458" i="3"/>
  <c r="AD458" i="3"/>
  <c r="AC458" i="3"/>
  <c r="W457" i="3"/>
  <c r="T458" i="3" l="1"/>
  <c r="AH458" i="3" s="1"/>
  <c r="U457" i="3"/>
  <c r="Y456" i="3"/>
  <c r="E458" i="3" l="1"/>
  <c r="H458" i="3" s="1"/>
  <c r="K458" i="3" s="1"/>
  <c r="AE458" i="3" s="1"/>
  <c r="AG458" i="3"/>
  <c r="D458" i="3"/>
  <c r="F458" i="3" l="1"/>
  <c r="G458" i="3"/>
  <c r="V458" i="3"/>
  <c r="A459" i="3"/>
  <c r="B459" i="3" s="1"/>
  <c r="AA459" i="3" l="1"/>
  <c r="AD459" i="3"/>
  <c r="AC459" i="3"/>
  <c r="P459" i="3"/>
  <c r="Q459" i="3" s="1"/>
  <c r="R459" i="3" s="1"/>
  <c r="S459" i="3" s="1"/>
  <c r="Z459" i="3"/>
  <c r="I458" i="3"/>
  <c r="W458" i="3" s="1"/>
  <c r="J458" i="3"/>
  <c r="M458" i="3"/>
  <c r="N458" i="3" s="1"/>
  <c r="T459" i="3" l="1"/>
  <c r="L458" i="3"/>
  <c r="AG459" i="3" l="1"/>
  <c r="AH459" i="3"/>
  <c r="U458" i="3"/>
  <c r="D459" i="3" s="1"/>
  <c r="Y457" i="3"/>
  <c r="E459" i="3" l="1"/>
  <c r="H459" i="3" s="1"/>
  <c r="K459" i="3" s="1"/>
  <c r="AE459" i="3" s="1"/>
  <c r="G459" i="3"/>
  <c r="F459" i="3" l="1"/>
  <c r="V459" i="3"/>
  <c r="A460" i="3"/>
  <c r="B460" i="3" s="1"/>
  <c r="I459" i="3"/>
  <c r="J459" i="3"/>
  <c r="M459" i="3"/>
  <c r="N459" i="3" s="1"/>
  <c r="W459" i="3" l="1"/>
  <c r="L459" i="3"/>
  <c r="AD460" i="3"/>
  <c r="AC460" i="3"/>
  <c r="Z460" i="3"/>
  <c r="AA460" i="3"/>
  <c r="P460" i="3"/>
  <c r="Q460" i="3" s="1"/>
  <c r="R460" i="3" s="1"/>
  <c r="S460" i="3" s="1"/>
  <c r="U459" i="3" l="1"/>
  <c r="Y458" i="3"/>
  <c r="T460" i="3"/>
  <c r="AG460" i="3" s="1"/>
  <c r="E460" i="3" l="1"/>
  <c r="H460" i="3" s="1"/>
  <c r="K460" i="3" s="1"/>
  <c r="AE460" i="3" s="1"/>
  <c r="AH460" i="3"/>
  <c r="D460" i="3"/>
  <c r="F460" i="3" l="1"/>
  <c r="G460" i="3"/>
  <c r="I460" i="3" s="1"/>
  <c r="V460" i="3"/>
  <c r="A461" i="3"/>
  <c r="B461" i="3" s="1"/>
  <c r="M460" i="3" l="1"/>
  <c r="N460" i="3" s="1"/>
  <c r="J460" i="3"/>
  <c r="L460" i="3" s="1"/>
  <c r="W460" i="3"/>
  <c r="Z461" i="3"/>
  <c r="P461" i="3"/>
  <c r="Q461" i="3" s="1"/>
  <c r="R461" i="3" s="1"/>
  <c r="S461" i="3" s="1"/>
  <c r="AC461" i="3"/>
  <c r="AD461" i="3"/>
  <c r="AA461" i="3"/>
  <c r="T461" i="3" l="1"/>
  <c r="AH461" i="3" s="1"/>
  <c r="U460" i="3"/>
  <c r="Y459" i="3"/>
  <c r="E461" i="3" l="1"/>
  <c r="H461" i="3" s="1"/>
  <c r="K461" i="3" s="1"/>
  <c r="AE461" i="3" s="1"/>
  <c r="D461" i="3"/>
  <c r="AG461" i="3"/>
  <c r="F461" i="3" l="1"/>
  <c r="G461" i="3"/>
  <c r="I461" i="3" s="1"/>
  <c r="V461" i="3"/>
  <c r="A462" i="3"/>
  <c r="B462" i="3" s="1"/>
  <c r="M461" i="3" l="1"/>
  <c r="N461" i="3" s="1"/>
  <c r="J461" i="3"/>
  <c r="L461" i="3" s="1"/>
  <c r="W461" i="3"/>
  <c r="AA462" i="3"/>
  <c r="AC462" i="3"/>
  <c r="AD462" i="3"/>
  <c r="Z462" i="3"/>
  <c r="P462" i="3"/>
  <c r="Q462" i="3" s="1"/>
  <c r="R462" i="3" s="1"/>
  <c r="S462" i="3" s="1"/>
  <c r="T462" i="3" l="1"/>
  <c r="AH462" i="3" s="1"/>
  <c r="U461" i="3"/>
  <c r="Y460" i="3"/>
  <c r="AG462" i="3" l="1"/>
  <c r="E462" i="3"/>
  <c r="H462" i="3" s="1"/>
  <c r="K462" i="3" s="1"/>
  <c r="AE462" i="3" s="1"/>
  <c r="D462" i="3"/>
  <c r="G462" i="3" s="1"/>
  <c r="F462" i="3" l="1"/>
  <c r="I462" i="3"/>
  <c r="J462" i="3"/>
  <c r="M462" i="3"/>
  <c r="N462" i="3" s="1"/>
  <c r="V462" i="3"/>
  <c r="A463" i="3"/>
  <c r="B463" i="3" s="1"/>
  <c r="W462" i="3" l="1"/>
  <c r="AC463" i="3"/>
  <c r="Z463" i="3"/>
  <c r="P463" i="3"/>
  <c r="Q463" i="3" s="1"/>
  <c r="R463" i="3" s="1"/>
  <c r="S463" i="3" s="1"/>
  <c r="AA463" i="3"/>
  <c r="AD463" i="3"/>
  <c r="L462" i="3"/>
  <c r="T463" i="3" l="1"/>
  <c r="AH463" i="3" s="1"/>
  <c r="U462" i="3"/>
  <c r="Y461" i="3"/>
  <c r="D463" i="3" l="1"/>
  <c r="G463" i="3" s="1"/>
  <c r="E463" i="3"/>
  <c r="H463" i="3" s="1"/>
  <c r="K463" i="3" s="1"/>
  <c r="AE463" i="3" s="1"/>
  <c r="AG463" i="3"/>
  <c r="F463" i="3" l="1"/>
  <c r="V463" i="3"/>
  <c r="A464" i="3"/>
  <c r="B464" i="3" s="1"/>
  <c r="I463" i="3"/>
  <c r="J463" i="3"/>
  <c r="M463" i="3"/>
  <c r="N463" i="3" s="1"/>
  <c r="AA464" i="3" l="1"/>
  <c r="P464" i="3"/>
  <c r="Q464" i="3" s="1"/>
  <c r="R464" i="3" s="1"/>
  <c r="S464" i="3" s="1"/>
  <c r="AC464" i="3"/>
  <c r="Z464" i="3"/>
  <c r="L463" i="3"/>
  <c r="W463" i="3"/>
  <c r="T464" i="3" l="1"/>
  <c r="AH464" i="3" s="1"/>
  <c r="U463" i="3"/>
  <c r="Y462" i="3"/>
  <c r="E464" i="3" l="1"/>
  <c r="H464" i="3" s="1"/>
  <c r="K464" i="3" s="1"/>
  <c r="AE464" i="3" s="1"/>
  <c r="AG464" i="3"/>
  <c r="D464" i="3"/>
  <c r="F464" i="3" l="1"/>
  <c r="G464" i="3"/>
  <c r="I464" i="3" s="1"/>
  <c r="V464" i="3"/>
  <c r="A465" i="3"/>
  <c r="B465" i="3" s="1"/>
  <c r="M464" i="3" l="1"/>
  <c r="N464" i="3" s="1"/>
  <c r="J464" i="3"/>
  <c r="AD465" i="3"/>
  <c r="AA465" i="3"/>
  <c r="Z465" i="3"/>
  <c r="AC465" i="3"/>
  <c r="P465" i="3"/>
  <c r="Q465" i="3" s="1"/>
  <c r="R465" i="3" s="1"/>
  <c r="S465" i="3" s="1"/>
  <c r="W464" i="3"/>
  <c r="L464" i="3" l="1"/>
  <c r="U464" i="3" s="1"/>
  <c r="AD464" i="3"/>
  <c r="T465" i="3"/>
  <c r="Y463" i="3" l="1"/>
  <c r="AH465" i="3"/>
  <c r="AG465" i="3"/>
  <c r="E465" i="3"/>
  <c r="H465" i="3" s="1"/>
  <c r="K465" i="3" s="1"/>
  <c r="AE465" i="3" s="1"/>
  <c r="D465" i="3"/>
  <c r="F465" i="3" l="1"/>
  <c r="G465" i="3"/>
  <c r="J465" i="3" s="1"/>
  <c r="V465" i="3"/>
  <c r="A466" i="3"/>
  <c r="B466" i="3" s="1"/>
  <c r="M465" i="3" l="1"/>
  <c r="N465" i="3" s="1"/>
  <c r="I465" i="3"/>
  <c r="W465" i="3" s="1"/>
  <c r="L465" i="3"/>
  <c r="Z466" i="3"/>
  <c r="AA466" i="3"/>
  <c r="P466" i="3"/>
  <c r="Q466" i="3" s="1"/>
  <c r="R466" i="3" s="1"/>
  <c r="S466" i="3" s="1"/>
  <c r="AD466" i="3"/>
  <c r="AC466" i="3"/>
  <c r="T466" i="3" l="1"/>
  <c r="AH466" i="3" s="1"/>
  <c r="U465" i="3"/>
  <c r="Y464" i="3"/>
  <c r="E466" i="3" l="1"/>
  <c r="H466" i="3" s="1"/>
  <c r="K466" i="3" s="1"/>
  <c r="AE466" i="3" s="1"/>
  <c r="AG466" i="3"/>
  <c r="D466" i="3"/>
  <c r="F466" i="3" l="1"/>
  <c r="G466" i="3"/>
  <c r="J466" i="3" s="1"/>
  <c r="V466" i="3"/>
  <c r="A467" i="3"/>
  <c r="B467" i="3" s="1"/>
  <c r="M466" i="3" l="1"/>
  <c r="N466" i="3" s="1"/>
  <c r="I466" i="3"/>
  <c r="W466" i="3" s="1"/>
  <c r="L466" i="3"/>
  <c r="AA467" i="3"/>
  <c r="AD467" i="3"/>
  <c r="Z467" i="3"/>
  <c r="P467" i="3"/>
  <c r="Q467" i="3" s="1"/>
  <c r="R467" i="3" s="1"/>
  <c r="S467" i="3" s="1"/>
  <c r="AC467" i="3"/>
  <c r="T467" i="3" l="1"/>
  <c r="AH467" i="3" s="1"/>
  <c r="U466" i="3"/>
  <c r="Y465" i="3"/>
  <c r="D467" i="3" l="1"/>
  <c r="G467" i="3" s="1"/>
  <c r="AG467" i="3"/>
  <c r="E467" i="3"/>
  <c r="H467" i="3" s="1"/>
  <c r="K467" i="3" s="1"/>
  <c r="AE467" i="3" s="1"/>
  <c r="F467" i="3" l="1"/>
  <c r="V467" i="3"/>
  <c r="A468" i="3"/>
  <c r="B468" i="3" s="1"/>
  <c r="I467" i="3"/>
  <c r="J467" i="3"/>
  <c r="M467" i="3"/>
  <c r="N467" i="3" s="1"/>
  <c r="L467" i="3" l="1"/>
  <c r="AC468" i="3"/>
  <c r="Z468" i="3"/>
  <c r="P468" i="3"/>
  <c r="Q468" i="3" s="1"/>
  <c r="R468" i="3" s="1"/>
  <c r="S468" i="3" s="1"/>
  <c r="AA468" i="3"/>
  <c r="AD468" i="3"/>
  <c r="W467" i="3"/>
  <c r="T468" i="3" l="1"/>
  <c r="U467" i="3"/>
  <c r="Y466" i="3"/>
  <c r="D468" i="3" l="1"/>
  <c r="G468" i="3" s="1"/>
  <c r="E468" i="3"/>
  <c r="H468" i="3" s="1"/>
  <c r="K468" i="3" s="1"/>
  <c r="AE468" i="3" s="1"/>
  <c r="AG468" i="3"/>
  <c r="AH468" i="3"/>
  <c r="F468" i="3" l="1"/>
  <c r="V468" i="3"/>
  <c r="A469" i="3"/>
  <c r="B469" i="3" s="1"/>
  <c r="I468" i="3"/>
  <c r="J468" i="3"/>
  <c r="M468" i="3"/>
  <c r="N468" i="3" s="1"/>
  <c r="Z469" i="3" l="1"/>
  <c r="AD469" i="3"/>
  <c r="AA469" i="3"/>
  <c r="AC469" i="3"/>
  <c r="P469" i="3"/>
  <c r="Q469" i="3" s="1"/>
  <c r="R469" i="3" s="1"/>
  <c r="S469" i="3" s="1"/>
  <c r="L468" i="3"/>
  <c r="W468" i="3"/>
  <c r="U468" i="3" l="1"/>
  <c r="Y467" i="3"/>
  <c r="T469" i="3"/>
  <c r="AG469" i="3" s="1"/>
  <c r="E469" i="3" l="1"/>
  <c r="H469" i="3" s="1"/>
  <c r="K469" i="3" s="1"/>
  <c r="AE469" i="3" s="1"/>
  <c r="D469" i="3"/>
  <c r="AH469" i="3"/>
  <c r="F469" i="3" l="1"/>
  <c r="G469" i="3"/>
  <c r="I469" i="3" s="1"/>
  <c r="V469" i="3"/>
  <c r="A470" i="3"/>
  <c r="B470" i="3" s="1"/>
  <c r="M469" i="3" l="1"/>
  <c r="N469" i="3" s="1"/>
  <c r="J469" i="3"/>
  <c r="L469" i="3" s="1"/>
  <c r="AA470" i="3"/>
  <c r="Z470" i="3"/>
  <c r="AD470" i="3"/>
  <c r="AC470" i="3"/>
  <c r="P470" i="3"/>
  <c r="Q470" i="3" s="1"/>
  <c r="R470" i="3" s="1"/>
  <c r="S470" i="3" s="1"/>
  <c r="W469" i="3"/>
  <c r="U469" i="3" l="1"/>
  <c r="Y468" i="3"/>
  <c r="T470" i="3"/>
  <c r="E470" i="3" l="1"/>
  <c r="H470" i="3" s="1"/>
  <c r="K470" i="3" s="1"/>
  <c r="AE470" i="3" s="1"/>
  <c r="AH470" i="3"/>
  <c r="D470" i="3"/>
  <c r="AG470" i="3"/>
  <c r="F470" i="3" l="1"/>
  <c r="G470" i="3"/>
  <c r="V470" i="3"/>
  <c r="A471" i="3"/>
  <c r="B471" i="3" s="1"/>
  <c r="Z471" i="3" l="1"/>
  <c r="AA471" i="3"/>
  <c r="AD471" i="3"/>
  <c r="AC471" i="3"/>
  <c r="P471" i="3"/>
  <c r="Q471" i="3" s="1"/>
  <c r="R471" i="3" s="1"/>
  <c r="S471" i="3" s="1"/>
  <c r="I470" i="3"/>
  <c r="W470" i="3" s="1"/>
  <c r="J470" i="3"/>
  <c r="M470" i="3"/>
  <c r="N470" i="3" s="1"/>
  <c r="T471" i="3" l="1"/>
  <c r="L470" i="3"/>
  <c r="U470" i="3" l="1"/>
  <c r="E471" i="3" s="1"/>
  <c r="H471" i="3" s="1"/>
  <c r="AG471" i="3"/>
  <c r="AH471" i="3"/>
  <c r="Y469" i="3"/>
  <c r="D471" i="3" l="1"/>
  <c r="F471" i="3" s="1"/>
  <c r="K471" i="3"/>
  <c r="AE471" i="3" s="1"/>
  <c r="G471" i="3" l="1"/>
  <c r="I471" i="3" s="1"/>
  <c r="V471" i="3"/>
  <c r="A472" i="3"/>
  <c r="B472" i="3" s="1"/>
  <c r="M471" i="3" l="1"/>
  <c r="N471" i="3" s="1"/>
  <c r="J471" i="3"/>
  <c r="L471" i="3" s="1"/>
  <c r="W471" i="3"/>
  <c r="P472" i="3"/>
  <c r="Q472" i="3" s="1"/>
  <c r="R472" i="3" s="1"/>
  <c r="S472" i="3" s="1"/>
  <c r="AD472" i="3"/>
  <c r="AA472" i="3"/>
  <c r="AC472" i="3"/>
  <c r="Z472" i="3"/>
  <c r="U471" i="3" l="1"/>
  <c r="Y470" i="3"/>
  <c r="T472" i="3"/>
  <c r="AH472" i="3" s="1"/>
  <c r="D472" i="3" l="1"/>
  <c r="E472" i="3"/>
  <c r="H472" i="3" s="1"/>
  <c r="AG472" i="3"/>
  <c r="K472" i="3" l="1"/>
  <c r="AE472" i="3" s="1"/>
  <c r="F472" i="3"/>
  <c r="G472" i="3"/>
  <c r="I472" i="3" l="1"/>
  <c r="J472" i="3"/>
  <c r="M472" i="3"/>
  <c r="N472" i="3" s="1"/>
  <c r="V472" i="3"/>
  <c r="A473" i="3"/>
  <c r="B473" i="3" s="1"/>
  <c r="W472" i="3" l="1"/>
  <c r="Z473" i="3"/>
  <c r="AA473" i="3"/>
  <c r="AD473" i="3"/>
  <c r="AC473" i="3"/>
  <c r="P473" i="3"/>
  <c r="Q473" i="3" s="1"/>
  <c r="R473" i="3" s="1"/>
  <c r="S473" i="3" s="1"/>
  <c r="L472" i="3"/>
  <c r="T473" i="3" l="1"/>
  <c r="AH473" i="3" s="1"/>
  <c r="U472" i="3"/>
  <c r="Y471" i="3"/>
  <c r="D473" i="3" l="1"/>
  <c r="G473" i="3" s="1"/>
  <c r="AG473" i="3"/>
  <c r="E473" i="3"/>
  <c r="H473" i="3" s="1"/>
  <c r="K473" i="3" l="1"/>
  <c r="AE473" i="3" s="1"/>
  <c r="I473" i="3"/>
  <c r="J473" i="3"/>
  <c r="M473" i="3"/>
  <c r="N473" i="3" s="1"/>
  <c r="F473" i="3"/>
  <c r="L473" i="3" l="1"/>
  <c r="V473" i="3"/>
  <c r="W473" i="3" s="1"/>
  <c r="A474" i="3"/>
  <c r="B474" i="3" s="1"/>
  <c r="Z474" i="3" l="1"/>
  <c r="AA474" i="3"/>
  <c r="P474" i="3"/>
  <c r="Q474" i="3" s="1"/>
  <c r="R474" i="3" s="1"/>
  <c r="S474" i="3" s="1"/>
  <c r="AC474" i="3"/>
  <c r="U473" i="3"/>
  <c r="Y472" i="3"/>
  <c r="T474" i="3" l="1"/>
  <c r="AH474" i="3" s="1"/>
  <c r="D474" i="3" l="1"/>
  <c r="E474" i="3"/>
  <c r="H474" i="3" s="1"/>
  <c r="AG474" i="3"/>
  <c r="K474" i="3" l="1"/>
  <c r="AE474" i="3" s="1"/>
  <c r="F474" i="3"/>
  <c r="G474" i="3"/>
  <c r="I474" i="3" l="1"/>
  <c r="J474" i="3"/>
  <c r="AD474" i="3" s="1"/>
  <c r="M474" i="3"/>
  <c r="N474" i="3" s="1"/>
  <c r="V474" i="3"/>
  <c r="A475" i="3"/>
  <c r="B475" i="3" s="1"/>
  <c r="W474" i="3" l="1"/>
  <c r="P475" i="3"/>
  <c r="Q475" i="3" s="1"/>
  <c r="R475" i="3" s="1"/>
  <c r="S475" i="3" s="1"/>
  <c r="AC475" i="3"/>
  <c r="AD475" i="3"/>
  <c r="AA475" i="3"/>
  <c r="Z475" i="3"/>
  <c r="L474" i="3"/>
  <c r="U474" i="3" l="1"/>
  <c r="Y473" i="3"/>
  <c r="T475" i="3"/>
  <c r="D475" i="3" l="1"/>
  <c r="G475" i="3" s="1"/>
  <c r="AH475" i="3"/>
  <c r="AG475" i="3"/>
  <c r="E475" i="3"/>
  <c r="H475" i="3" s="1"/>
  <c r="K475" i="3" l="1"/>
  <c r="AE475" i="3" s="1"/>
  <c r="I475" i="3"/>
  <c r="J475" i="3"/>
  <c r="M475" i="3"/>
  <c r="N475" i="3" s="1"/>
  <c r="F475" i="3"/>
  <c r="L475" i="3" l="1"/>
  <c r="V475" i="3"/>
  <c r="W475" i="3" s="1"/>
  <c r="A476" i="3"/>
  <c r="B476" i="3" s="1"/>
  <c r="AA476" i="3" l="1"/>
  <c r="AD476" i="3"/>
  <c r="AC476" i="3"/>
  <c r="P476" i="3"/>
  <c r="Q476" i="3" s="1"/>
  <c r="R476" i="3" s="1"/>
  <c r="S476" i="3" s="1"/>
  <c r="Z476" i="3"/>
  <c r="U475" i="3"/>
  <c r="Y474" i="3"/>
  <c r="T476" i="3" l="1"/>
  <c r="E476" i="3" s="1"/>
  <c r="H476" i="3" s="1"/>
  <c r="D476" i="3" l="1"/>
  <c r="F476" i="3" s="1"/>
  <c r="AG476" i="3"/>
  <c r="AH476" i="3"/>
  <c r="K476" i="3"/>
  <c r="AE476" i="3" s="1"/>
  <c r="G476" i="3" l="1"/>
  <c r="I476" i="3" s="1"/>
  <c r="V476" i="3"/>
  <c r="A477" i="3"/>
  <c r="B477" i="3" s="1"/>
  <c r="M476" i="3" l="1"/>
  <c r="N476" i="3" s="1"/>
  <c r="J476" i="3"/>
  <c r="L476" i="3" s="1"/>
  <c r="W476" i="3"/>
  <c r="AA477" i="3"/>
  <c r="AD477" i="3"/>
  <c r="AC477" i="3"/>
  <c r="P477" i="3"/>
  <c r="Q477" i="3" s="1"/>
  <c r="R477" i="3" s="1"/>
  <c r="S477" i="3" s="1"/>
  <c r="Z477" i="3"/>
  <c r="T477" i="3" l="1"/>
  <c r="AG477" i="3" s="1"/>
  <c r="U476" i="3"/>
  <c r="Y475" i="3"/>
  <c r="D477" i="3" l="1"/>
  <c r="G477" i="3" s="1"/>
  <c r="AH477" i="3"/>
  <c r="E477" i="3"/>
  <c r="H477" i="3" s="1"/>
  <c r="K477" i="3" s="1"/>
  <c r="AE477" i="3" s="1"/>
  <c r="F477" i="3" l="1"/>
  <c r="V477" i="3"/>
  <c r="A478" i="3"/>
  <c r="B478" i="3" s="1"/>
  <c r="I477" i="3"/>
  <c r="J477" i="3"/>
  <c r="M477" i="3"/>
  <c r="N477" i="3" s="1"/>
  <c r="L477" i="3" l="1"/>
  <c r="AC478" i="3"/>
  <c r="Z478" i="3"/>
  <c r="AA478" i="3"/>
  <c r="AD478" i="3"/>
  <c r="P478" i="3"/>
  <c r="Q478" i="3" s="1"/>
  <c r="R478" i="3" s="1"/>
  <c r="S478" i="3" s="1"/>
  <c r="W477" i="3"/>
  <c r="T478" i="3" l="1"/>
  <c r="AH478" i="3" s="1"/>
  <c r="U477" i="3"/>
  <c r="Y476" i="3"/>
  <c r="AG478" i="3" l="1"/>
  <c r="D478" i="3"/>
  <c r="G478" i="3" s="1"/>
  <c r="E478" i="3"/>
  <c r="H478" i="3" s="1"/>
  <c r="K478" i="3" s="1"/>
  <c r="AE478" i="3" s="1"/>
  <c r="F478" i="3" l="1"/>
  <c r="V478" i="3"/>
  <c r="A479" i="3"/>
  <c r="B479" i="3" s="1"/>
  <c r="I478" i="3"/>
  <c r="J478" i="3"/>
  <c r="M478" i="3"/>
  <c r="N478" i="3" s="1"/>
  <c r="AD479" i="3" l="1"/>
  <c r="P479" i="3"/>
  <c r="Q479" i="3" s="1"/>
  <c r="R479" i="3" s="1"/>
  <c r="S479" i="3" s="1"/>
  <c r="AA479" i="3"/>
  <c r="Z479" i="3"/>
  <c r="AC479" i="3"/>
  <c r="L478" i="3"/>
  <c r="W478" i="3"/>
  <c r="T479" i="3" l="1"/>
  <c r="AG479" i="3" s="1"/>
  <c r="U478" i="3"/>
  <c r="Y477" i="3"/>
  <c r="AH479" i="3" l="1"/>
  <c r="D479" i="3"/>
  <c r="G479" i="3" s="1"/>
  <c r="E479" i="3"/>
  <c r="H479" i="3" s="1"/>
  <c r="K479" i="3" s="1"/>
  <c r="AE479" i="3" s="1"/>
  <c r="F479" i="3" l="1"/>
  <c r="V479" i="3"/>
  <c r="A480" i="3"/>
  <c r="B480" i="3" s="1"/>
  <c r="I479" i="3"/>
  <c r="J479" i="3"/>
  <c r="M479" i="3"/>
  <c r="N479" i="3" s="1"/>
  <c r="P480" i="3" l="1"/>
  <c r="Q480" i="3" s="1"/>
  <c r="R480" i="3" s="1"/>
  <c r="S480" i="3" s="1"/>
  <c r="AA480" i="3"/>
  <c r="AC480" i="3"/>
  <c r="AD480" i="3"/>
  <c r="Z480" i="3"/>
  <c r="L479" i="3"/>
  <c r="W479" i="3"/>
  <c r="U479" i="3" l="1"/>
  <c r="Y478" i="3"/>
  <c r="T480" i="3"/>
  <c r="AH480" i="3" s="1"/>
  <c r="D480" i="3" l="1"/>
  <c r="AG480" i="3"/>
  <c r="E480" i="3"/>
  <c r="H480" i="3" s="1"/>
  <c r="K480" i="3" l="1"/>
  <c r="AE480" i="3" s="1"/>
  <c r="F480" i="3"/>
  <c r="G480" i="3"/>
  <c r="I480" i="3" l="1"/>
  <c r="J480" i="3"/>
  <c r="M480" i="3"/>
  <c r="N480" i="3" s="1"/>
  <c r="V480" i="3"/>
  <c r="A481" i="3"/>
  <c r="B481" i="3" s="1"/>
  <c r="W480" i="3" l="1"/>
  <c r="AA481" i="3"/>
  <c r="AD481" i="3"/>
  <c r="Z481" i="3"/>
  <c r="AC481" i="3"/>
  <c r="P481" i="3"/>
  <c r="Q481" i="3" s="1"/>
  <c r="R481" i="3" s="1"/>
  <c r="S481" i="3" s="1"/>
  <c r="L480" i="3"/>
  <c r="U480" i="3" l="1"/>
  <c r="Y479" i="3"/>
  <c r="T481" i="3"/>
  <c r="E481" i="3" l="1"/>
  <c r="H481" i="3" s="1"/>
  <c r="K481" i="3" s="1"/>
  <c r="AE481" i="3" s="1"/>
  <c r="AG481" i="3"/>
  <c r="D481" i="3"/>
  <c r="AH481" i="3"/>
  <c r="F481" i="3" l="1"/>
  <c r="G481" i="3"/>
  <c r="I481" i="3" s="1"/>
  <c r="V481" i="3"/>
  <c r="A482" i="3"/>
  <c r="B482" i="3" s="1"/>
  <c r="W481" i="3" l="1"/>
  <c r="J481" i="3"/>
  <c r="L481" i="3" s="1"/>
  <c r="M481" i="3"/>
  <c r="N481" i="3" s="1"/>
  <c r="Z482" i="3"/>
  <c r="AD482" i="3"/>
  <c r="AC482" i="3"/>
  <c r="AA482" i="3"/>
  <c r="P482" i="3"/>
  <c r="Q482" i="3" s="1"/>
  <c r="R482" i="3" s="1"/>
  <c r="S482" i="3" s="1"/>
  <c r="T482" i="3" l="1"/>
  <c r="AG482" i="3" s="1"/>
  <c r="U481" i="3"/>
  <c r="Y480" i="3"/>
  <c r="D482" i="3" l="1"/>
  <c r="G482" i="3" s="1"/>
  <c r="E482" i="3"/>
  <c r="H482" i="3" s="1"/>
  <c r="K482" i="3" s="1"/>
  <c r="AE482" i="3" s="1"/>
  <c r="AH482" i="3"/>
  <c r="F482" i="3" l="1"/>
  <c r="I482" i="3"/>
  <c r="J482" i="3"/>
  <c r="M482" i="3"/>
  <c r="N482" i="3" s="1"/>
  <c r="V482" i="3"/>
  <c r="A483" i="3"/>
  <c r="B483" i="3" s="1"/>
  <c r="W482" i="3" l="1"/>
  <c r="L482" i="3"/>
  <c r="AA483" i="3"/>
  <c r="P483" i="3"/>
  <c r="Q483" i="3" s="1"/>
  <c r="R483" i="3" s="1"/>
  <c r="S483" i="3" s="1"/>
  <c r="AC483" i="3"/>
  <c r="AD483" i="3"/>
  <c r="Z483" i="3"/>
  <c r="T483" i="3" l="1"/>
  <c r="AG483" i="3" s="1"/>
  <c r="U482" i="3"/>
  <c r="Y481" i="3"/>
  <c r="AH483" i="3" l="1"/>
  <c r="D483" i="3"/>
  <c r="G483" i="3" s="1"/>
  <c r="E483" i="3"/>
  <c r="H483" i="3" s="1"/>
  <c r="K483" i="3" l="1"/>
  <c r="AE483" i="3" s="1"/>
  <c r="I483" i="3"/>
  <c r="J483" i="3"/>
  <c r="M483" i="3"/>
  <c r="N483" i="3" s="1"/>
  <c r="F483" i="3"/>
  <c r="V483" i="3" l="1"/>
  <c r="W483" i="3" s="1"/>
  <c r="A484" i="3"/>
  <c r="B484" i="3" s="1"/>
  <c r="L483" i="3"/>
  <c r="Z484" i="3" l="1"/>
  <c r="AC484" i="3"/>
  <c r="AA484" i="3"/>
  <c r="P484" i="3"/>
  <c r="Q484" i="3" s="1"/>
  <c r="R484" i="3" s="1"/>
  <c r="S484" i="3" s="1"/>
  <c r="U483" i="3"/>
  <c r="Y482" i="3"/>
  <c r="T484" i="3" l="1"/>
  <c r="AG484" i="3" s="1"/>
  <c r="E484" i="3" l="1"/>
  <c r="H484" i="3" s="1"/>
  <c r="K484" i="3" s="1"/>
  <c r="AE484" i="3" s="1"/>
  <c r="AH484" i="3"/>
  <c r="D484" i="3"/>
  <c r="F484" i="3" l="1"/>
  <c r="G484" i="3"/>
  <c r="V484" i="3"/>
  <c r="A485" i="3"/>
  <c r="B485" i="3" s="1"/>
  <c r="AC485" i="3" l="1"/>
  <c r="Z485" i="3"/>
  <c r="P485" i="3"/>
  <c r="Q485" i="3" s="1"/>
  <c r="R485" i="3" s="1"/>
  <c r="S485" i="3" s="1"/>
  <c r="AD485" i="3"/>
  <c r="AA485" i="3"/>
  <c r="I484" i="3"/>
  <c r="W484" i="3" s="1"/>
  <c r="J484" i="3"/>
  <c r="AD484" i="3" s="1"/>
  <c r="M484" i="3"/>
  <c r="N484" i="3" s="1"/>
  <c r="T485" i="3" l="1"/>
  <c r="L484" i="3"/>
  <c r="AH485" i="3" l="1"/>
  <c r="U484" i="3"/>
  <c r="D485" i="3" s="1"/>
  <c r="AG485" i="3"/>
  <c r="Y483" i="3"/>
  <c r="E485" i="3" l="1"/>
  <c r="H485" i="3" s="1"/>
  <c r="K485" i="3" s="1"/>
  <c r="AE485" i="3" s="1"/>
  <c r="G485" i="3"/>
  <c r="F485" i="3" l="1"/>
  <c r="V485" i="3"/>
  <c r="A486" i="3"/>
  <c r="B486" i="3" s="1"/>
  <c r="I485" i="3"/>
  <c r="J485" i="3"/>
  <c r="M485" i="3"/>
  <c r="N485" i="3" s="1"/>
  <c r="L485" i="3" l="1"/>
  <c r="AC486" i="3"/>
  <c r="AD486" i="3"/>
  <c r="Z486" i="3"/>
  <c r="P486" i="3"/>
  <c r="Q486" i="3" s="1"/>
  <c r="R486" i="3" s="1"/>
  <c r="S486" i="3" s="1"/>
  <c r="AA486" i="3"/>
  <c r="W485" i="3"/>
  <c r="T486" i="3" l="1"/>
  <c r="AG486" i="3" s="1"/>
  <c r="U485" i="3"/>
  <c r="Y484" i="3"/>
  <c r="D486" i="3" l="1"/>
  <c r="G486" i="3" s="1"/>
  <c r="E486" i="3"/>
  <c r="H486" i="3" s="1"/>
  <c r="K486" i="3" s="1"/>
  <c r="AE486" i="3" s="1"/>
  <c r="AH486" i="3"/>
  <c r="F486" i="3" l="1"/>
  <c r="I486" i="3"/>
  <c r="J486" i="3"/>
  <c r="M486" i="3"/>
  <c r="N486" i="3" s="1"/>
  <c r="V486" i="3"/>
  <c r="A487" i="3"/>
  <c r="B487" i="3" s="1"/>
  <c r="W486" i="3" l="1"/>
  <c r="Z487" i="3"/>
  <c r="AA487" i="3"/>
  <c r="AD487" i="3"/>
  <c r="AC487" i="3"/>
  <c r="P487" i="3"/>
  <c r="Q487" i="3" s="1"/>
  <c r="R487" i="3" s="1"/>
  <c r="S487" i="3" s="1"/>
  <c r="L486" i="3"/>
  <c r="T487" i="3" l="1"/>
  <c r="AG487" i="3" s="1"/>
  <c r="U486" i="3"/>
  <c r="Y485" i="3"/>
  <c r="AH487" i="3" l="1"/>
  <c r="D487" i="3"/>
  <c r="G487" i="3" s="1"/>
  <c r="E487" i="3"/>
  <c r="H487" i="3" s="1"/>
  <c r="K487" i="3" s="1"/>
  <c r="AE487" i="3" s="1"/>
  <c r="F487" i="3" l="1"/>
  <c r="I487" i="3"/>
  <c r="J487" i="3"/>
  <c r="M487" i="3"/>
  <c r="N487" i="3" s="1"/>
  <c r="V487" i="3"/>
  <c r="A488" i="3"/>
  <c r="B488" i="3" s="1"/>
  <c r="W487" i="3" l="1"/>
  <c r="AA488" i="3"/>
  <c r="Z488" i="3"/>
  <c r="AC488" i="3"/>
  <c r="AD488" i="3"/>
  <c r="P488" i="3"/>
  <c r="Q488" i="3" s="1"/>
  <c r="R488" i="3" s="1"/>
  <c r="S488" i="3" s="1"/>
  <c r="L487" i="3"/>
  <c r="T488" i="3" l="1"/>
  <c r="AH488" i="3" s="1"/>
  <c r="U487" i="3"/>
  <c r="Y486" i="3"/>
  <c r="E488" i="3" l="1"/>
  <c r="H488" i="3" s="1"/>
  <c r="K488" i="3" s="1"/>
  <c r="AE488" i="3" s="1"/>
  <c r="AG488" i="3"/>
  <c r="D488" i="3"/>
  <c r="F488" i="3" l="1"/>
  <c r="G488" i="3"/>
  <c r="I488" i="3" s="1"/>
  <c r="V488" i="3"/>
  <c r="A489" i="3"/>
  <c r="B489" i="3" s="1"/>
  <c r="M488" i="3" l="1"/>
  <c r="N488" i="3" s="1"/>
  <c r="J488" i="3"/>
  <c r="L488" i="3" s="1"/>
  <c r="Z489" i="3"/>
  <c r="AC489" i="3"/>
  <c r="AA489" i="3"/>
  <c r="AD489" i="3"/>
  <c r="P489" i="3"/>
  <c r="Q489" i="3" s="1"/>
  <c r="R489" i="3" s="1"/>
  <c r="S489" i="3" s="1"/>
  <c r="W488" i="3"/>
  <c r="T489" i="3" l="1"/>
  <c r="AH489" i="3" s="1"/>
  <c r="U488" i="3"/>
  <c r="Y487" i="3"/>
  <c r="AG489" i="3" l="1"/>
  <c r="E489" i="3"/>
  <c r="H489" i="3" s="1"/>
  <c r="K489" i="3" s="1"/>
  <c r="AE489" i="3" s="1"/>
  <c r="D489" i="3"/>
  <c r="G489" i="3" s="1"/>
  <c r="F489" i="3" l="1"/>
  <c r="I489" i="3"/>
  <c r="J489" i="3"/>
  <c r="M489" i="3"/>
  <c r="N489" i="3" s="1"/>
  <c r="V489" i="3"/>
  <c r="A490" i="3"/>
  <c r="B490" i="3" s="1"/>
  <c r="W489" i="3" l="1"/>
  <c r="P490" i="3"/>
  <c r="Q490" i="3" s="1"/>
  <c r="R490" i="3" s="1"/>
  <c r="S490" i="3" s="1"/>
  <c r="AC490" i="3"/>
  <c r="AD490" i="3"/>
  <c r="AA490" i="3"/>
  <c r="Z490" i="3"/>
  <c r="L489" i="3"/>
  <c r="U489" i="3" l="1"/>
  <c r="Y488" i="3"/>
  <c r="T490" i="3"/>
  <c r="E490" i="3" l="1"/>
  <c r="H490" i="3" s="1"/>
  <c r="K490" i="3" s="1"/>
  <c r="AE490" i="3" s="1"/>
  <c r="AH490" i="3"/>
  <c r="AG490" i="3"/>
  <c r="D490" i="3"/>
  <c r="F490" i="3" l="1"/>
  <c r="G490" i="3"/>
  <c r="V490" i="3"/>
  <c r="A491" i="3"/>
  <c r="B491" i="3" s="1"/>
  <c r="AD491" i="3" l="1"/>
  <c r="P491" i="3"/>
  <c r="Q491" i="3" s="1"/>
  <c r="R491" i="3" s="1"/>
  <c r="S491" i="3" s="1"/>
  <c r="AC491" i="3"/>
  <c r="AA491" i="3"/>
  <c r="Z491" i="3"/>
  <c r="I490" i="3"/>
  <c r="W490" i="3" s="1"/>
  <c r="J490" i="3"/>
  <c r="M490" i="3"/>
  <c r="N490" i="3" s="1"/>
  <c r="L490" i="3" l="1"/>
  <c r="T491" i="3"/>
  <c r="AG491" i="3" l="1"/>
  <c r="U490" i="3"/>
  <c r="E491" i="3" s="1"/>
  <c r="H491" i="3" s="1"/>
  <c r="AH491" i="3"/>
  <c r="Y489" i="3"/>
  <c r="D491" i="3" l="1"/>
  <c r="F491" i="3" s="1"/>
  <c r="K491" i="3"/>
  <c r="AE491" i="3" s="1"/>
  <c r="G491" i="3" l="1"/>
  <c r="I491" i="3" s="1"/>
  <c r="V491" i="3"/>
  <c r="A492" i="3"/>
  <c r="B492" i="3" s="1"/>
  <c r="W491" i="3" l="1"/>
  <c r="M491" i="3"/>
  <c r="N491" i="3" s="1"/>
  <c r="J491" i="3"/>
  <c r="L491" i="3" s="1"/>
  <c r="Z492" i="3"/>
  <c r="P492" i="3"/>
  <c r="Q492" i="3" s="1"/>
  <c r="R492" i="3" s="1"/>
  <c r="S492" i="3" s="1"/>
  <c r="AA492" i="3"/>
  <c r="AD492" i="3"/>
  <c r="AC492" i="3"/>
  <c r="T492" i="3" l="1"/>
  <c r="AH492" i="3" s="1"/>
  <c r="U491" i="3"/>
  <c r="Y490" i="3"/>
  <c r="AG492" i="3" l="1"/>
  <c r="E492" i="3"/>
  <c r="H492" i="3" s="1"/>
  <c r="K492" i="3" s="1"/>
  <c r="AE492" i="3" s="1"/>
  <c r="D492" i="3"/>
  <c r="V492" i="3" l="1"/>
  <c r="A493" i="3"/>
  <c r="B493" i="3" s="1"/>
  <c r="F492" i="3"/>
  <c r="G492" i="3"/>
  <c r="AA493" i="3" l="1"/>
  <c r="P493" i="3"/>
  <c r="Q493" i="3" s="1"/>
  <c r="R493" i="3" s="1"/>
  <c r="S493" i="3" s="1"/>
  <c r="AD493" i="3"/>
  <c r="Z493" i="3"/>
  <c r="AC493" i="3"/>
  <c r="I492" i="3"/>
  <c r="W492" i="3" s="1"/>
  <c r="J492" i="3"/>
  <c r="M492" i="3"/>
  <c r="N492" i="3" s="1"/>
  <c r="T493" i="3" l="1"/>
  <c r="L492" i="3"/>
  <c r="AG493" i="3" l="1"/>
  <c r="AH493" i="3"/>
  <c r="U492" i="3"/>
  <c r="E493" i="3" s="1"/>
  <c r="H493" i="3" s="1"/>
  <c r="Y491" i="3"/>
  <c r="K493" i="3" l="1"/>
  <c r="AE493" i="3" s="1"/>
  <c r="D493" i="3"/>
  <c r="F493" i="3" l="1"/>
  <c r="G493" i="3"/>
  <c r="V493" i="3"/>
  <c r="A494" i="3"/>
  <c r="B494" i="3" s="1"/>
  <c r="AC494" i="3" l="1"/>
  <c r="P494" i="3"/>
  <c r="Q494" i="3" s="1"/>
  <c r="R494" i="3" s="1"/>
  <c r="S494" i="3" s="1"/>
  <c r="Z494" i="3"/>
  <c r="AA494" i="3"/>
  <c r="I493" i="3"/>
  <c r="W493" i="3" s="1"/>
  <c r="J493" i="3"/>
  <c r="M493" i="3"/>
  <c r="N493" i="3" s="1"/>
  <c r="L493" i="3" l="1"/>
  <c r="T494" i="3"/>
  <c r="AH494" i="3" l="1"/>
  <c r="AG494" i="3"/>
  <c r="U493" i="3"/>
  <c r="E494" i="3" s="1"/>
  <c r="H494" i="3" s="1"/>
  <c r="Y492" i="3"/>
  <c r="D494" i="3" l="1"/>
  <c r="F494" i="3" s="1"/>
  <c r="K494" i="3"/>
  <c r="AE494" i="3" s="1"/>
  <c r="G494" i="3" l="1"/>
  <c r="I494" i="3" s="1"/>
  <c r="V494" i="3"/>
  <c r="A495" i="3"/>
  <c r="B495" i="3" s="1"/>
  <c r="W494" i="3" l="1"/>
  <c r="J494" i="3"/>
  <c r="M494" i="3"/>
  <c r="N494" i="3" s="1"/>
  <c r="AC495" i="3"/>
  <c r="P495" i="3"/>
  <c r="Q495" i="3" s="1"/>
  <c r="R495" i="3" s="1"/>
  <c r="S495" i="3" s="1"/>
  <c r="Z495" i="3"/>
  <c r="AA495" i="3"/>
  <c r="AD495" i="3"/>
  <c r="L494" i="3" l="1"/>
  <c r="U494" i="3" s="1"/>
  <c r="AD494" i="3"/>
  <c r="T495" i="3"/>
  <c r="Y493" i="3" l="1"/>
  <c r="AH495" i="3"/>
  <c r="E495" i="3"/>
  <c r="H495" i="3" s="1"/>
  <c r="K495" i="3" s="1"/>
  <c r="AE495" i="3" s="1"/>
  <c r="D495" i="3"/>
  <c r="AG495" i="3"/>
  <c r="F495" i="3" l="1"/>
  <c r="G495" i="3"/>
  <c r="I495" i="3" s="1"/>
  <c r="V495" i="3"/>
  <c r="A496" i="3"/>
  <c r="B496" i="3" s="1"/>
  <c r="M495" i="3" l="1"/>
  <c r="N495" i="3" s="1"/>
  <c r="J495" i="3"/>
  <c r="L495" i="3" s="1"/>
  <c r="W495" i="3"/>
  <c r="AD496" i="3"/>
  <c r="Z496" i="3"/>
  <c r="AC496" i="3"/>
  <c r="AA496" i="3"/>
  <c r="P496" i="3"/>
  <c r="Q496" i="3" s="1"/>
  <c r="R496" i="3" s="1"/>
  <c r="S496" i="3" s="1"/>
  <c r="T496" i="3" l="1"/>
  <c r="AH496" i="3" s="1"/>
  <c r="U495" i="3"/>
  <c r="Y494" i="3"/>
  <c r="AG496" i="3" l="1"/>
  <c r="E496" i="3"/>
  <c r="H496" i="3" s="1"/>
  <c r="K496" i="3" s="1"/>
  <c r="AE496" i="3" s="1"/>
  <c r="D496" i="3"/>
  <c r="F496" i="3" l="1"/>
  <c r="G496" i="3"/>
  <c r="I496" i="3" s="1"/>
  <c r="V496" i="3"/>
  <c r="A497" i="3"/>
  <c r="B497" i="3" s="1"/>
  <c r="M496" i="3" l="1"/>
  <c r="N496" i="3" s="1"/>
  <c r="J496" i="3"/>
  <c r="L496" i="3" s="1"/>
  <c r="AC497" i="3"/>
  <c r="AA497" i="3"/>
  <c r="AD497" i="3"/>
  <c r="Z497" i="3"/>
  <c r="P497" i="3"/>
  <c r="Q497" i="3" s="1"/>
  <c r="R497" i="3" s="1"/>
  <c r="S497" i="3" s="1"/>
  <c r="W496" i="3"/>
  <c r="T497" i="3" l="1"/>
  <c r="AH497" i="3" s="1"/>
  <c r="U496" i="3"/>
  <c r="Y495" i="3"/>
  <c r="D497" i="3" l="1"/>
  <c r="G497" i="3" s="1"/>
  <c r="AG497" i="3"/>
  <c r="E497" i="3"/>
  <c r="H497" i="3" s="1"/>
  <c r="K497" i="3" s="1"/>
  <c r="AE497" i="3" s="1"/>
  <c r="F497" i="3" l="1"/>
  <c r="V497" i="3"/>
  <c r="A498" i="3"/>
  <c r="B498" i="3" s="1"/>
  <c r="I497" i="3"/>
  <c r="J497" i="3"/>
  <c r="M497" i="3"/>
  <c r="N497" i="3" s="1"/>
  <c r="AA498" i="3" l="1"/>
  <c r="P498" i="3"/>
  <c r="Q498" i="3" s="1"/>
  <c r="R498" i="3" s="1"/>
  <c r="S498" i="3" s="1"/>
  <c r="Z498" i="3"/>
  <c r="AC498" i="3"/>
  <c r="AD498" i="3"/>
  <c r="L497" i="3"/>
  <c r="W497" i="3"/>
  <c r="T498" i="3" l="1"/>
  <c r="AH498" i="3" s="1"/>
  <c r="U497" i="3"/>
  <c r="Y496" i="3"/>
  <c r="AG498" i="3" l="1"/>
  <c r="E498" i="3"/>
  <c r="H498" i="3" s="1"/>
  <c r="K498" i="3" s="1"/>
  <c r="AE498" i="3" s="1"/>
  <c r="D498" i="3"/>
  <c r="F498" i="3" l="1"/>
  <c r="G498" i="3"/>
  <c r="I498" i="3" s="1"/>
  <c r="V498" i="3"/>
  <c r="A499" i="3"/>
  <c r="B499" i="3" s="1"/>
  <c r="W498" i="3" l="1"/>
  <c r="M498" i="3"/>
  <c r="N498" i="3" s="1"/>
  <c r="J498" i="3"/>
  <c r="L498" i="3" s="1"/>
  <c r="AD499" i="3"/>
  <c r="AA499" i="3"/>
  <c r="Z499" i="3"/>
  <c r="AC499" i="3"/>
  <c r="P499" i="3"/>
  <c r="Q499" i="3" s="1"/>
  <c r="R499" i="3" s="1"/>
  <c r="S499" i="3" s="1"/>
  <c r="U498" i="3" l="1"/>
  <c r="Y497" i="3"/>
  <c r="T499" i="3"/>
  <c r="AH499" i="3" s="1"/>
  <c r="D499" i="3" l="1"/>
  <c r="AG499" i="3"/>
  <c r="E499" i="3"/>
  <c r="H499" i="3" s="1"/>
  <c r="K499" i="3" l="1"/>
  <c r="AE499" i="3" s="1"/>
  <c r="F499" i="3"/>
  <c r="G499" i="3"/>
  <c r="I499" i="3" l="1"/>
  <c r="J499" i="3"/>
  <c r="M499" i="3"/>
  <c r="N499" i="3" s="1"/>
  <c r="V499" i="3"/>
  <c r="A500" i="3"/>
  <c r="B500" i="3" s="1"/>
  <c r="W499" i="3" l="1"/>
  <c r="Z500" i="3"/>
  <c r="P500" i="3"/>
  <c r="Q500" i="3" s="1"/>
  <c r="R500" i="3" s="1"/>
  <c r="S500" i="3" s="1"/>
  <c r="AC500" i="3"/>
  <c r="AD500" i="3"/>
  <c r="AA500" i="3"/>
  <c r="L499" i="3"/>
  <c r="T500" i="3" l="1"/>
  <c r="AG500" i="3" s="1"/>
  <c r="U499" i="3"/>
  <c r="Y498" i="3"/>
  <c r="D500" i="3" l="1"/>
  <c r="G500" i="3" s="1"/>
  <c r="AH500" i="3"/>
  <c r="E500" i="3"/>
  <c r="H500" i="3" s="1"/>
  <c r="K500" i="3" s="1"/>
  <c r="AE500" i="3" s="1"/>
  <c r="F500" i="3" l="1"/>
  <c r="I500" i="3"/>
  <c r="J500" i="3"/>
  <c r="M500" i="3"/>
  <c r="N500" i="3" s="1"/>
  <c r="V500" i="3"/>
  <c r="A501" i="3"/>
  <c r="B501" i="3" s="1"/>
  <c r="W500" i="3" l="1"/>
  <c r="Z501" i="3"/>
  <c r="AD501" i="3"/>
  <c r="AA501" i="3"/>
  <c r="P501" i="3"/>
  <c r="Q501" i="3" s="1"/>
  <c r="R501" i="3" s="1"/>
  <c r="S501" i="3" s="1"/>
  <c r="AC501" i="3"/>
  <c r="L500" i="3"/>
  <c r="T501" i="3" l="1"/>
  <c r="AH501" i="3" s="1"/>
  <c r="U500" i="3"/>
  <c r="Y499" i="3"/>
  <c r="D501" i="3" l="1"/>
  <c r="G501" i="3" s="1"/>
  <c r="E501" i="3"/>
  <c r="H501" i="3" s="1"/>
  <c r="K501" i="3" s="1"/>
  <c r="AE501" i="3" s="1"/>
  <c r="AG501" i="3"/>
  <c r="F501" i="3" l="1"/>
  <c r="I501" i="3"/>
  <c r="J501" i="3"/>
  <c r="M501" i="3"/>
  <c r="N501" i="3" s="1"/>
  <c r="V501" i="3"/>
  <c r="A502" i="3"/>
  <c r="B502" i="3" s="1"/>
  <c r="W501" i="3" l="1"/>
  <c r="L501" i="3"/>
  <c r="AA502" i="3"/>
  <c r="AC502" i="3"/>
  <c r="Z502" i="3"/>
  <c r="AD502" i="3"/>
  <c r="P502" i="3"/>
  <c r="Q502" i="3" s="1"/>
  <c r="R502" i="3" s="1"/>
  <c r="S502" i="3" s="1"/>
  <c r="T502" i="3" l="1"/>
  <c r="AG502" i="3" s="1"/>
  <c r="U501" i="3"/>
  <c r="Y500" i="3"/>
  <c r="E502" i="3" l="1"/>
  <c r="H502" i="3" s="1"/>
  <c r="K502" i="3" s="1"/>
  <c r="AE502" i="3" s="1"/>
  <c r="D502" i="3"/>
  <c r="AH502" i="3"/>
  <c r="F502" i="3" l="1"/>
  <c r="G502" i="3"/>
  <c r="M502" i="3" s="1"/>
  <c r="N502" i="3" s="1"/>
  <c r="V502" i="3"/>
  <c r="A503" i="3"/>
  <c r="B503" i="3" s="1"/>
  <c r="J502" i="3" l="1"/>
  <c r="L502" i="3" s="1"/>
  <c r="I502" i="3"/>
  <c r="W502" i="3" s="1"/>
  <c r="Z503" i="3"/>
  <c r="AC503" i="3"/>
  <c r="AA503" i="3"/>
  <c r="AD503" i="3"/>
  <c r="P503" i="3"/>
  <c r="Q503" i="3" s="1"/>
  <c r="R503" i="3" s="1"/>
  <c r="S503" i="3" s="1"/>
  <c r="T503" i="3" l="1"/>
  <c r="AH503" i="3" s="1"/>
  <c r="U502" i="3"/>
  <c r="Y501" i="3"/>
  <c r="E503" i="3" l="1"/>
  <c r="H503" i="3" s="1"/>
  <c r="K503" i="3" s="1"/>
  <c r="AE503" i="3" s="1"/>
  <c r="AG503" i="3"/>
  <c r="D503" i="3"/>
  <c r="F503" i="3" l="1"/>
  <c r="G503" i="3"/>
  <c r="I503" i="3" s="1"/>
  <c r="V503" i="3"/>
  <c r="A504" i="3"/>
  <c r="B504" i="3" s="1"/>
  <c r="M503" i="3" l="1"/>
  <c r="N503" i="3" s="1"/>
  <c r="J503" i="3"/>
  <c r="L503" i="3" s="1"/>
  <c r="W503" i="3"/>
  <c r="AC504" i="3"/>
  <c r="Z504" i="3"/>
  <c r="P504" i="3"/>
  <c r="Q504" i="3" s="1"/>
  <c r="R504" i="3" s="1"/>
  <c r="S504" i="3" s="1"/>
  <c r="AA504" i="3"/>
  <c r="U503" i="3" l="1"/>
  <c r="Y502" i="3"/>
  <c r="T504" i="3"/>
  <c r="E504" i="3" l="1"/>
  <c r="H504" i="3" s="1"/>
  <c r="K504" i="3" s="1"/>
  <c r="AE504" i="3" s="1"/>
  <c r="AH504" i="3"/>
  <c r="AG504" i="3"/>
  <c r="D504" i="3"/>
  <c r="F504" i="3" l="1"/>
  <c r="G504" i="3"/>
  <c r="V504" i="3"/>
  <c r="A505" i="3"/>
  <c r="B505" i="3" s="1"/>
  <c r="P505" i="3" l="1"/>
  <c r="Q505" i="3" s="1"/>
  <c r="R505" i="3" s="1"/>
  <c r="S505" i="3" s="1"/>
  <c r="AD505" i="3"/>
  <c r="AA505" i="3"/>
  <c r="Z505" i="3"/>
  <c r="AC505" i="3"/>
  <c r="I504" i="3"/>
  <c r="W504" i="3" s="1"/>
  <c r="J504" i="3"/>
  <c r="AD504" i="3" s="1"/>
  <c r="M504" i="3"/>
  <c r="N504" i="3" s="1"/>
  <c r="L504" i="3" l="1"/>
  <c r="T505" i="3"/>
  <c r="AG505" i="3" l="1"/>
  <c r="AH505" i="3"/>
  <c r="U504" i="3"/>
  <c r="E505" i="3" s="1"/>
  <c r="H505" i="3" s="1"/>
  <c r="Y503" i="3"/>
  <c r="K505" i="3" l="1"/>
  <c r="AE505" i="3" s="1"/>
  <c r="D505" i="3"/>
  <c r="F505" i="3" l="1"/>
  <c r="G505" i="3"/>
  <c r="V505" i="3"/>
  <c r="A506" i="3"/>
  <c r="B506" i="3" s="1"/>
  <c r="Z506" i="3" l="1"/>
  <c r="AC506" i="3"/>
  <c r="P506" i="3"/>
  <c r="Q506" i="3" s="1"/>
  <c r="R506" i="3" s="1"/>
  <c r="S506" i="3" s="1"/>
  <c r="AD506" i="3"/>
  <c r="AA506" i="3"/>
  <c r="I505" i="3"/>
  <c r="W505" i="3" s="1"/>
  <c r="J505" i="3"/>
  <c r="M505" i="3"/>
  <c r="N505" i="3" s="1"/>
  <c r="T506" i="3" l="1"/>
  <c r="L505" i="3"/>
  <c r="U505" i="3" l="1"/>
  <c r="D506" i="3" s="1"/>
  <c r="AH506" i="3"/>
  <c r="AG506" i="3"/>
  <c r="Y504" i="3"/>
  <c r="E506" i="3" l="1"/>
  <c r="H506" i="3" s="1"/>
  <c r="K506" i="3" s="1"/>
  <c r="AE506" i="3" s="1"/>
  <c r="G506" i="3"/>
  <c r="F506" i="3" l="1"/>
  <c r="V506" i="3"/>
  <c r="A507" i="3"/>
  <c r="B507" i="3" s="1"/>
  <c r="I506" i="3"/>
  <c r="J506" i="3"/>
  <c r="M506" i="3"/>
  <c r="N506" i="3" s="1"/>
  <c r="L506" i="3" l="1"/>
  <c r="Z507" i="3"/>
  <c r="AD507" i="3"/>
  <c r="P507" i="3"/>
  <c r="Q507" i="3" s="1"/>
  <c r="R507" i="3" s="1"/>
  <c r="S507" i="3" s="1"/>
  <c r="AA507" i="3"/>
  <c r="AC507" i="3"/>
  <c r="W506" i="3"/>
  <c r="T507" i="3" l="1"/>
  <c r="AG507" i="3" s="1"/>
  <c r="U506" i="3"/>
  <c r="Y505" i="3"/>
  <c r="AH507" i="3" l="1"/>
  <c r="E507" i="3"/>
  <c r="H507" i="3" s="1"/>
  <c r="D507" i="3"/>
  <c r="K507" i="3" l="1"/>
  <c r="AE507" i="3" s="1"/>
  <c r="F507" i="3"/>
  <c r="G507" i="3"/>
  <c r="I507" i="3" l="1"/>
  <c r="J507" i="3"/>
  <c r="M507" i="3"/>
  <c r="N507" i="3" s="1"/>
  <c r="V507" i="3"/>
  <c r="A508" i="3"/>
  <c r="B508" i="3" s="1"/>
  <c r="W507" i="3" l="1"/>
  <c r="Z508" i="3"/>
  <c r="AC508" i="3"/>
  <c r="P508" i="3"/>
  <c r="Q508" i="3" s="1"/>
  <c r="R508" i="3" s="1"/>
  <c r="S508" i="3" s="1"/>
  <c r="AA508" i="3"/>
  <c r="AD508" i="3"/>
  <c r="L507" i="3"/>
  <c r="T508" i="3" l="1"/>
  <c r="AH508" i="3" s="1"/>
  <c r="U507" i="3"/>
  <c r="Y506" i="3"/>
  <c r="D508" i="3" l="1"/>
  <c r="G508" i="3" s="1"/>
  <c r="AG508" i="3"/>
  <c r="E508" i="3"/>
  <c r="H508" i="3" s="1"/>
  <c r="K508" i="3" l="1"/>
  <c r="AE508" i="3" s="1"/>
  <c r="I508" i="3"/>
  <c r="J508" i="3"/>
  <c r="M508" i="3"/>
  <c r="N508" i="3" s="1"/>
  <c r="F508" i="3"/>
  <c r="L508" i="3" l="1"/>
  <c r="V508" i="3"/>
  <c r="W508" i="3" s="1"/>
  <c r="A509" i="3"/>
  <c r="B509" i="3" s="1"/>
  <c r="P509" i="3" l="1"/>
  <c r="Q509" i="3" s="1"/>
  <c r="R509" i="3" s="1"/>
  <c r="S509" i="3" s="1"/>
  <c r="Z509" i="3"/>
  <c r="AC509" i="3"/>
  <c r="AD509" i="3"/>
  <c r="AA509" i="3"/>
  <c r="U508" i="3"/>
  <c r="Y507" i="3"/>
  <c r="T509" i="3" l="1"/>
  <c r="D509" i="3" l="1"/>
  <c r="AH509" i="3"/>
  <c r="E509" i="3"/>
  <c r="H509" i="3" s="1"/>
  <c r="AG509" i="3"/>
  <c r="K509" i="3" l="1"/>
  <c r="AE509" i="3" s="1"/>
  <c r="F509" i="3"/>
  <c r="G509" i="3"/>
  <c r="I509" i="3" l="1"/>
  <c r="J509" i="3"/>
  <c r="M509" i="3"/>
  <c r="N509" i="3" s="1"/>
  <c r="V509" i="3"/>
  <c r="A510" i="3"/>
  <c r="B510" i="3" s="1"/>
  <c r="W509" i="3" l="1"/>
  <c r="L509" i="3"/>
  <c r="AD510" i="3"/>
  <c r="P510" i="3"/>
  <c r="Q510" i="3" s="1"/>
  <c r="R510" i="3" s="1"/>
  <c r="S510" i="3" s="1"/>
  <c r="AC510" i="3"/>
  <c r="Z510" i="3"/>
  <c r="AA510" i="3"/>
  <c r="T510" i="3" l="1"/>
  <c r="AG510" i="3" s="1"/>
  <c r="U509" i="3"/>
  <c r="Y508" i="3"/>
  <c r="D510" i="3" l="1"/>
  <c r="G510" i="3" s="1"/>
  <c r="AH510" i="3"/>
  <c r="E510" i="3"/>
  <c r="H510" i="3" s="1"/>
  <c r="K510" i="3" s="1"/>
  <c r="AE510" i="3" s="1"/>
  <c r="F510" i="3" l="1"/>
  <c r="V510" i="3"/>
  <c r="A511" i="3"/>
  <c r="B511" i="3" s="1"/>
  <c r="I510" i="3"/>
  <c r="J510" i="3"/>
  <c r="M510" i="3"/>
  <c r="N510" i="3" s="1"/>
  <c r="L510" i="3" l="1"/>
  <c r="AC511" i="3"/>
  <c r="P511" i="3"/>
  <c r="Q511" i="3" s="1"/>
  <c r="R511" i="3" s="1"/>
  <c r="S511" i="3" s="1"/>
  <c r="Z511" i="3"/>
  <c r="AD511" i="3"/>
  <c r="AA511" i="3"/>
  <c r="W510" i="3"/>
  <c r="T511" i="3" l="1"/>
  <c r="AG511" i="3" s="1"/>
  <c r="U510" i="3"/>
  <c r="Y509" i="3"/>
  <c r="AH511" i="3" l="1"/>
  <c r="E511" i="3"/>
  <c r="H511" i="3" s="1"/>
  <c r="K511" i="3" s="1"/>
  <c r="AE511" i="3" s="1"/>
  <c r="D511" i="3"/>
  <c r="F511" i="3" l="1"/>
  <c r="G511" i="3"/>
  <c r="J511" i="3" s="1"/>
  <c r="V511" i="3"/>
  <c r="A512" i="3"/>
  <c r="B512" i="3" s="1"/>
  <c r="M511" i="3" l="1"/>
  <c r="N511" i="3" s="1"/>
  <c r="I511" i="3"/>
  <c r="W511" i="3" s="1"/>
  <c r="Z512" i="3"/>
  <c r="AA512" i="3"/>
  <c r="AD512" i="3"/>
  <c r="AC512" i="3"/>
  <c r="P512" i="3"/>
  <c r="Q512" i="3" s="1"/>
  <c r="R512" i="3" s="1"/>
  <c r="S512" i="3" s="1"/>
  <c r="L511" i="3"/>
  <c r="T512" i="3" l="1"/>
  <c r="AH512" i="3" s="1"/>
  <c r="U511" i="3"/>
  <c r="Y510" i="3"/>
  <c r="E512" i="3" l="1"/>
  <c r="H512" i="3" s="1"/>
  <c r="K512" i="3" s="1"/>
  <c r="AE512" i="3" s="1"/>
  <c r="AG512" i="3"/>
  <c r="D512" i="3"/>
  <c r="G512" i="3" s="1"/>
  <c r="F512" i="3" l="1"/>
  <c r="V512" i="3"/>
  <c r="A513" i="3"/>
  <c r="B513" i="3" s="1"/>
  <c r="I512" i="3"/>
  <c r="J512" i="3"/>
  <c r="M512" i="3"/>
  <c r="N512" i="3" s="1"/>
  <c r="L512" i="3" l="1"/>
  <c r="Z513" i="3"/>
  <c r="AD513" i="3"/>
  <c r="AC513" i="3"/>
  <c r="AA513" i="3"/>
  <c r="P513" i="3"/>
  <c r="Q513" i="3" s="1"/>
  <c r="R513" i="3" s="1"/>
  <c r="S513" i="3" s="1"/>
  <c r="W512" i="3"/>
  <c r="T513" i="3" l="1"/>
  <c r="AG513" i="3" s="1"/>
  <c r="U512" i="3"/>
  <c r="Y511" i="3"/>
  <c r="E513" i="3" l="1"/>
  <c r="H513" i="3" s="1"/>
  <c r="K513" i="3" s="1"/>
  <c r="AE513" i="3" s="1"/>
  <c r="AH513" i="3"/>
  <c r="D513" i="3"/>
  <c r="F513" i="3" l="1"/>
  <c r="G513" i="3"/>
  <c r="I513" i="3" s="1"/>
  <c r="V513" i="3"/>
  <c r="A514" i="3"/>
  <c r="B514" i="3" s="1"/>
  <c r="M513" i="3" l="1"/>
  <c r="N513" i="3" s="1"/>
  <c r="J513" i="3"/>
  <c r="L513" i="3" s="1"/>
  <c r="W513" i="3"/>
  <c r="AA514" i="3"/>
  <c r="AC514" i="3"/>
  <c r="Z514" i="3"/>
  <c r="P514" i="3"/>
  <c r="Q514" i="3" s="1"/>
  <c r="R514" i="3" s="1"/>
  <c r="S514" i="3" s="1"/>
  <c r="T514" i="3" l="1"/>
  <c r="AG514" i="3" s="1"/>
  <c r="U513" i="3"/>
  <c r="Y512" i="3"/>
  <c r="E514" i="3" l="1"/>
  <c r="H514" i="3" s="1"/>
  <c r="K514" i="3" s="1"/>
  <c r="AE514" i="3" s="1"/>
  <c r="AH514" i="3"/>
  <c r="D514" i="3"/>
  <c r="F514" i="3" l="1"/>
  <c r="G514" i="3"/>
  <c r="I514" i="3" s="1"/>
  <c r="V514" i="3"/>
  <c r="A515" i="3"/>
  <c r="B515" i="3" s="1"/>
  <c r="M514" i="3" l="1"/>
  <c r="N514" i="3" s="1"/>
  <c r="J514" i="3"/>
  <c r="AD514" i="3" s="1"/>
  <c r="W514" i="3"/>
  <c r="Z515" i="3"/>
  <c r="AA515" i="3"/>
  <c r="AD515" i="3"/>
  <c r="AC515" i="3"/>
  <c r="P515" i="3"/>
  <c r="Q515" i="3" s="1"/>
  <c r="R515" i="3" s="1"/>
  <c r="S515" i="3" s="1"/>
  <c r="L514" i="3" l="1"/>
  <c r="U514" i="3" s="1"/>
  <c r="T515" i="3"/>
  <c r="E515" i="3" l="1"/>
  <c r="H515" i="3" s="1"/>
  <c r="K515" i="3" s="1"/>
  <c r="AE515" i="3" s="1"/>
  <c r="AH515" i="3"/>
  <c r="AG515" i="3"/>
  <c r="Y513" i="3"/>
  <c r="D515" i="3"/>
  <c r="F515" i="3" l="1"/>
  <c r="G515" i="3"/>
  <c r="I515" i="3" s="1"/>
  <c r="V515" i="3"/>
  <c r="A516" i="3"/>
  <c r="B516" i="3" s="1"/>
  <c r="W515" i="3" l="1"/>
  <c r="M515" i="3"/>
  <c r="N515" i="3" s="1"/>
  <c r="J515" i="3"/>
  <c r="L515" i="3" s="1"/>
  <c r="AD516" i="3"/>
  <c r="AA516" i="3"/>
  <c r="P516" i="3"/>
  <c r="Q516" i="3" s="1"/>
  <c r="R516" i="3" s="1"/>
  <c r="S516" i="3" s="1"/>
  <c r="Z516" i="3"/>
  <c r="AC516" i="3"/>
  <c r="T516" i="3" l="1"/>
  <c r="AG516" i="3" s="1"/>
  <c r="U515" i="3"/>
  <c r="Y514" i="3"/>
  <c r="AH516" i="3" l="1"/>
  <c r="E516" i="3"/>
  <c r="H516" i="3" s="1"/>
  <c r="K516" i="3" s="1"/>
  <c r="AE516" i="3" s="1"/>
  <c r="D516" i="3"/>
  <c r="F516" i="3" l="1"/>
  <c r="G516" i="3"/>
  <c r="V516" i="3"/>
  <c r="A517" i="3"/>
  <c r="B517" i="3" s="1"/>
  <c r="AC517" i="3" l="1"/>
  <c r="P517" i="3"/>
  <c r="Q517" i="3" s="1"/>
  <c r="R517" i="3" s="1"/>
  <c r="S517" i="3" s="1"/>
  <c r="AA517" i="3"/>
  <c r="Z517" i="3"/>
  <c r="AD517" i="3"/>
  <c r="I516" i="3"/>
  <c r="W516" i="3" s="1"/>
  <c r="J516" i="3"/>
  <c r="M516" i="3"/>
  <c r="N516" i="3" s="1"/>
  <c r="T517" i="3" l="1"/>
  <c r="L516" i="3"/>
  <c r="AG517" i="3" l="1"/>
  <c r="U516" i="3"/>
  <c r="E517" i="3" s="1"/>
  <c r="H517" i="3" s="1"/>
  <c r="AH517" i="3"/>
  <c r="Y515" i="3"/>
  <c r="D517" i="3" l="1"/>
  <c r="F517" i="3" s="1"/>
  <c r="K517" i="3"/>
  <c r="AE517" i="3" s="1"/>
  <c r="G517" i="3" l="1"/>
  <c r="I517" i="3" s="1"/>
  <c r="V517" i="3"/>
  <c r="A518" i="3"/>
  <c r="B518" i="3" s="1"/>
  <c r="M517" i="3" l="1"/>
  <c r="N517" i="3" s="1"/>
  <c r="J517" i="3"/>
  <c r="L517" i="3" s="1"/>
  <c r="W517" i="3"/>
  <c r="AC518" i="3"/>
  <c r="P518" i="3"/>
  <c r="Q518" i="3" s="1"/>
  <c r="R518" i="3" s="1"/>
  <c r="S518" i="3" s="1"/>
  <c r="AA518" i="3"/>
  <c r="Z518" i="3"/>
  <c r="AD518" i="3"/>
  <c r="T518" i="3" l="1"/>
  <c r="AG518" i="3" s="1"/>
  <c r="U517" i="3"/>
  <c r="Y516" i="3"/>
  <c r="E518" i="3" l="1"/>
  <c r="H518" i="3" s="1"/>
  <c r="K518" i="3" s="1"/>
  <c r="AE518" i="3" s="1"/>
  <c r="AH518" i="3"/>
  <c r="D518" i="3"/>
  <c r="F518" i="3" l="1"/>
  <c r="G518" i="3"/>
  <c r="M518" i="3" s="1"/>
  <c r="N518" i="3" s="1"/>
  <c r="V518" i="3"/>
  <c r="A519" i="3"/>
  <c r="B519" i="3" s="1"/>
  <c r="J518" i="3" l="1"/>
  <c r="L518" i="3" s="1"/>
  <c r="I518" i="3"/>
  <c r="W518" i="3" s="1"/>
  <c r="AA519" i="3"/>
  <c r="Z519" i="3"/>
  <c r="AD519" i="3"/>
  <c r="AC519" i="3"/>
  <c r="P519" i="3"/>
  <c r="Q519" i="3" s="1"/>
  <c r="R519" i="3" s="1"/>
  <c r="S519" i="3" s="1"/>
  <c r="T519" i="3" l="1"/>
  <c r="AG519" i="3" s="1"/>
  <c r="U518" i="3"/>
  <c r="Y517" i="3"/>
  <c r="E519" i="3" l="1"/>
  <c r="H519" i="3" s="1"/>
  <c r="K519" i="3" s="1"/>
  <c r="AE519" i="3" s="1"/>
  <c r="D519" i="3"/>
  <c r="AH519" i="3"/>
  <c r="F519" i="3" l="1"/>
  <c r="G519" i="3"/>
  <c r="I519" i="3" s="1"/>
  <c r="V519" i="3"/>
  <c r="A520" i="3"/>
  <c r="B520" i="3" s="1"/>
  <c r="W519" i="3" l="1"/>
  <c r="M519" i="3"/>
  <c r="N519" i="3" s="1"/>
  <c r="J519" i="3"/>
  <c r="L519" i="3" s="1"/>
  <c r="P520" i="3"/>
  <c r="Q520" i="3" s="1"/>
  <c r="R520" i="3" s="1"/>
  <c r="S520" i="3" s="1"/>
  <c r="AC520" i="3"/>
  <c r="Z520" i="3"/>
  <c r="AA520" i="3"/>
  <c r="AD520" i="3"/>
  <c r="U519" i="3" l="1"/>
  <c r="Y518" i="3"/>
  <c r="T520" i="3"/>
  <c r="AG520" i="3" s="1"/>
  <c r="AH520" i="3" l="1"/>
  <c r="D520" i="3"/>
  <c r="G520" i="3" s="1"/>
  <c r="E520" i="3"/>
  <c r="H520" i="3" s="1"/>
  <c r="K520" i="3" s="1"/>
  <c r="AE520" i="3" s="1"/>
  <c r="F520" i="3" l="1"/>
  <c r="V520" i="3"/>
  <c r="A521" i="3"/>
  <c r="B521" i="3" s="1"/>
  <c r="I520" i="3"/>
  <c r="J520" i="3"/>
  <c r="M520" i="3"/>
  <c r="N520" i="3" s="1"/>
  <c r="L520" i="3" l="1"/>
  <c r="Z521" i="3"/>
  <c r="AC521" i="3"/>
  <c r="P521" i="3"/>
  <c r="Q521" i="3" s="1"/>
  <c r="R521" i="3" s="1"/>
  <c r="S521" i="3" s="1"/>
  <c r="AD521" i="3"/>
  <c r="AA521" i="3"/>
  <c r="W520" i="3"/>
  <c r="T521" i="3" l="1"/>
  <c r="AG521" i="3" s="1"/>
  <c r="U520" i="3"/>
  <c r="Y519" i="3"/>
  <c r="E521" i="3" l="1"/>
  <c r="H521" i="3" s="1"/>
  <c r="K521" i="3" s="1"/>
  <c r="AE521" i="3" s="1"/>
  <c r="AH521" i="3"/>
  <c r="D521" i="3"/>
  <c r="F521" i="3" l="1"/>
  <c r="G521" i="3"/>
  <c r="I521" i="3" s="1"/>
  <c r="V521" i="3"/>
  <c r="A522" i="3"/>
  <c r="B522" i="3" s="1"/>
  <c r="M521" i="3" l="1"/>
  <c r="N521" i="3" s="1"/>
  <c r="J521" i="3"/>
  <c r="L521" i="3" s="1"/>
  <c r="W521" i="3"/>
  <c r="AA522" i="3"/>
  <c r="Z522" i="3"/>
  <c r="AD522" i="3"/>
  <c r="AC522" i="3"/>
  <c r="P522" i="3"/>
  <c r="Q522" i="3" s="1"/>
  <c r="R522" i="3" s="1"/>
  <c r="S522" i="3" s="1"/>
  <c r="T522" i="3" l="1"/>
  <c r="AH522" i="3" s="1"/>
  <c r="U521" i="3"/>
  <c r="Y520" i="3"/>
  <c r="D522" i="3" l="1"/>
  <c r="G522" i="3" s="1"/>
  <c r="AG522" i="3"/>
  <c r="E522" i="3"/>
  <c r="H522" i="3" s="1"/>
  <c r="K522" i="3" s="1"/>
  <c r="AE522" i="3" s="1"/>
  <c r="F522" i="3" l="1"/>
  <c r="V522" i="3"/>
  <c r="A523" i="3"/>
  <c r="B523" i="3" s="1"/>
  <c r="I522" i="3"/>
  <c r="J522" i="3"/>
  <c r="M522" i="3"/>
  <c r="N522" i="3" s="1"/>
  <c r="AD523" i="3" l="1"/>
  <c r="P523" i="3"/>
  <c r="Q523" i="3" s="1"/>
  <c r="R523" i="3" s="1"/>
  <c r="S523" i="3" s="1"/>
  <c r="Z523" i="3"/>
  <c r="AC523" i="3"/>
  <c r="AA523" i="3"/>
  <c r="L522" i="3"/>
  <c r="W522" i="3"/>
  <c r="T523" i="3" l="1"/>
  <c r="AH523" i="3" s="1"/>
  <c r="U522" i="3"/>
  <c r="Y521" i="3"/>
  <c r="AG523" i="3" l="1"/>
  <c r="D523" i="3"/>
  <c r="G523" i="3" s="1"/>
  <c r="E523" i="3"/>
  <c r="H523" i="3" s="1"/>
  <c r="K523" i="3" s="1"/>
  <c r="AE523" i="3" s="1"/>
  <c r="F523" i="3" l="1"/>
  <c r="I523" i="3"/>
  <c r="J523" i="3"/>
  <c r="M523" i="3"/>
  <c r="N523" i="3" s="1"/>
  <c r="V523" i="3"/>
  <c r="A524" i="3"/>
  <c r="B524" i="3" s="1"/>
  <c r="W523" i="3" l="1"/>
  <c r="AA524" i="3"/>
  <c r="Z524" i="3"/>
  <c r="AC524" i="3"/>
  <c r="P524" i="3"/>
  <c r="Q524" i="3" s="1"/>
  <c r="R524" i="3" s="1"/>
  <c r="S524" i="3" s="1"/>
  <c r="L523" i="3"/>
  <c r="T524" i="3" l="1"/>
  <c r="AH524" i="3" s="1"/>
  <c r="U523" i="3"/>
  <c r="Y522" i="3"/>
  <c r="D524" i="3" l="1"/>
  <c r="G524" i="3" s="1"/>
  <c r="AG524" i="3"/>
  <c r="E524" i="3"/>
  <c r="H524" i="3" s="1"/>
  <c r="K524" i="3" s="1"/>
  <c r="AE524" i="3" s="1"/>
  <c r="F524" i="3" l="1"/>
  <c r="V524" i="3"/>
  <c r="A525" i="3"/>
  <c r="B525" i="3" s="1"/>
  <c r="I524" i="3"/>
  <c r="J524" i="3"/>
  <c r="AD524" i="3" s="1"/>
  <c r="M524" i="3"/>
  <c r="N524" i="3" s="1"/>
  <c r="L524" i="3" l="1"/>
  <c r="AC525" i="3"/>
  <c r="AA525" i="3"/>
  <c r="AD525" i="3"/>
  <c r="Z525" i="3"/>
  <c r="P525" i="3"/>
  <c r="Q525" i="3" s="1"/>
  <c r="R525" i="3" s="1"/>
  <c r="S525" i="3" s="1"/>
  <c r="W524" i="3"/>
  <c r="T525" i="3" l="1"/>
  <c r="AG525" i="3" s="1"/>
  <c r="U524" i="3"/>
  <c r="Y523" i="3"/>
  <c r="D525" i="3" l="1"/>
  <c r="G525" i="3" s="1"/>
  <c r="AH525" i="3"/>
  <c r="E525" i="3"/>
  <c r="H525" i="3" s="1"/>
  <c r="K525" i="3" s="1"/>
  <c r="AE525" i="3" s="1"/>
  <c r="F525" i="3" l="1"/>
  <c r="V525" i="3"/>
  <c r="A526" i="3"/>
  <c r="B526" i="3" s="1"/>
  <c r="I525" i="3"/>
  <c r="J525" i="3"/>
  <c r="M525" i="3"/>
  <c r="N525" i="3" s="1"/>
  <c r="P526" i="3" l="1"/>
  <c r="Q526" i="3" s="1"/>
  <c r="R526" i="3" s="1"/>
  <c r="S526" i="3" s="1"/>
  <c r="AA526" i="3"/>
  <c r="Z526" i="3"/>
  <c r="AD526" i="3"/>
  <c r="AC526" i="3"/>
  <c r="L525" i="3"/>
  <c r="W525" i="3"/>
  <c r="U525" i="3" l="1"/>
  <c r="Y524" i="3"/>
  <c r="T526" i="3"/>
  <c r="D526" i="3" l="1"/>
  <c r="G526" i="3" s="1"/>
  <c r="E526" i="3"/>
  <c r="H526" i="3" s="1"/>
  <c r="AG526" i="3"/>
  <c r="AH526" i="3"/>
  <c r="I526" i="3" l="1"/>
  <c r="J526" i="3"/>
  <c r="M526" i="3"/>
  <c r="N526" i="3" s="1"/>
  <c r="K526" i="3"/>
  <c r="AE526" i="3" s="1"/>
  <c r="F526" i="3"/>
  <c r="V526" i="3" l="1"/>
  <c r="W526" i="3" s="1"/>
  <c r="A527" i="3"/>
  <c r="B527" i="3" s="1"/>
  <c r="L526" i="3"/>
  <c r="U526" i="3" l="1"/>
  <c r="Y525" i="3"/>
  <c r="AA527" i="3"/>
  <c r="P527" i="3"/>
  <c r="Q527" i="3" s="1"/>
  <c r="R527" i="3" s="1"/>
  <c r="S527" i="3" s="1"/>
  <c r="AD527" i="3"/>
  <c r="Z527" i="3"/>
  <c r="AC527" i="3"/>
  <c r="T527" i="3" l="1"/>
  <c r="E527" i="3" s="1"/>
  <c r="H527" i="3" s="1"/>
  <c r="D527" i="3" l="1"/>
  <c r="F527" i="3" s="1"/>
  <c r="K527" i="3"/>
  <c r="AE527" i="3" s="1"/>
  <c r="AH527" i="3"/>
  <c r="AG527" i="3"/>
  <c r="G527" i="3" l="1"/>
  <c r="I527" i="3" s="1"/>
  <c r="V527" i="3"/>
  <c r="A528" i="3"/>
  <c r="B528" i="3" s="1"/>
  <c r="M527" i="3" l="1"/>
  <c r="N527" i="3" s="1"/>
  <c r="J527" i="3"/>
  <c r="L527" i="3" s="1"/>
  <c r="W527" i="3"/>
  <c r="AC528" i="3"/>
  <c r="AD528" i="3"/>
  <c r="AA528" i="3"/>
  <c r="Z528" i="3"/>
  <c r="P528" i="3"/>
  <c r="Q528" i="3" s="1"/>
  <c r="R528" i="3" s="1"/>
  <c r="S528" i="3" s="1"/>
  <c r="T528" i="3" l="1"/>
  <c r="AH528" i="3" s="1"/>
  <c r="U527" i="3"/>
  <c r="Y526" i="3"/>
  <c r="D528" i="3" l="1"/>
  <c r="G528" i="3" s="1"/>
  <c r="AG528" i="3"/>
  <c r="E528" i="3"/>
  <c r="H528" i="3" s="1"/>
  <c r="K528" i="3" s="1"/>
  <c r="AE528" i="3" s="1"/>
  <c r="F528" i="3" l="1"/>
  <c r="V528" i="3"/>
  <c r="A529" i="3"/>
  <c r="B529" i="3" s="1"/>
  <c r="I528" i="3"/>
  <c r="J528" i="3"/>
  <c r="M528" i="3"/>
  <c r="N528" i="3" s="1"/>
  <c r="AA529" i="3" l="1"/>
  <c r="P529" i="3"/>
  <c r="Q529" i="3" s="1"/>
  <c r="R529" i="3" s="1"/>
  <c r="S529" i="3" s="1"/>
  <c r="AD529" i="3"/>
  <c r="AC529" i="3"/>
  <c r="Z529" i="3"/>
  <c r="L528" i="3"/>
  <c r="W528" i="3"/>
  <c r="T529" i="3" l="1"/>
  <c r="AG529" i="3" s="1"/>
  <c r="U528" i="3"/>
  <c r="Y527" i="3"/>
  <c r="E529" i="3" l="1"/>
  <c r="H529" i="3" s="1"/>
  <c r="K529" i="3" s="1"/>
  <c r="AE529" i="3" s="1"/>
  <c r="D529" i="3"/>
  <c r="AH529" i="3"/>
  <c r="F529" i="3" l="1"/>
  <c r="G529" i="3"/>
  <c r="I529" i="3" s="1"/>
  <c r="V529" i="3"/>
  <c r="A530" i="3"/>
  <c r="B530" i="3" s="1"/>
  <c r="W529" i="3" l="1"/>
  <c r="M529" i="3"/>
  <c r="N529" i="3" s="1"/>
  <c r="J529" i="3"/>
  <c r="L529" i="3" s="1"/>
  <c r="AC530" i="3"/>
  <c r="AA530" i="3"/>
  <c r="AD530" i="3"/>
  <c r="P530" i="3"/>
  <c r="Q530" i="3" s="1"/>
  <c r="R530" i="3" s="1"/>
  <c r="S530" i="3" s="1"/>
  <c r="Z530" i="3"/>
  <c r="T530" i="3" l="1"/>
  <c r="AH530" i="3" s="1"/>
  <c r="U529" i="3"/>
  <c r="Y528" i="3"/>
  <c r="E530" i="3" l="1"/>
  <c r="H530" i="3" s="1"/>
  <c r="K530" i="3" s="1"/>
  <c r="AE530" i="3" s="1"/>
  <c r="AG530" i="3"/>
  <c r="D530" i="3"/>
  <c r="F530" i="3" l="1"/>
  <c r="G530" i="3"/>
  <c r="V530" i="3"/>
  <c r="A531" i="3"/>
  <c r="B531" i="3" s="1"/>
  <c r="Z531" i="3" l="1"/>
  <c r="AD531" i="3"/>
  <c r="AC531" i="3"/>
  <c r="AA531" i="3"/>
  <c r="P531" i="3"/>
  <c r="Q531" i="3" s="1"/>
  <c r="R531" i="3" s="1"/>
  <c r="S531" i="3" s="1"/>
  <c r="I530" i="3"/>
  <c r="W530" i="3" s="1"/>
  <c r="J530" i="3"/>
  <c r="M530" i="3"/>
  <c r="N530" i="3" s="1"/>
  <c r="T531" i="3" l="1"/>
  <c r="L530" i="3"/>
  <c r="U530" i="3" l="1"/>
  <c r="D531" i="3" s="1"/>
  <c r="AH531" i="3"/>
  <c r="AG531" i="3"/>
  <c r="Y529" i="3"/>
  <c r="E531" i="3" l="1"/>
  <c r="H531" i="3" s="1"/>
  <c r="K531" i="3" s="1"/>
  <c r="AE531" i="3" s="1"/>
  <c r="G531" i="3"/>
  <c r="F531" i="3" l="1"/>
  <c r="I531" i="3"/>
  <c r="J531" i="3"/>
  <c r="M531" i="3"/>
  <c r="N531" i="3" s="1"/>
  <c r="V531" i="3"/>
  <c r="A532" i="3"/>
  <c r="B532" i="3" s="1"/>
  <c r="W531" i="3" l="1"/>
  <c r="Z532" i="3"/>
  <c r="AA532" i="3"/>
  <c r="P532" i="3"/>
  <c r="Q532" i="3" s="1"/>
  <c r="R532" i="3" s="1"/>
  <c r="S532" i="3" s="1"/>
  <c r="AD532" i="3"/>
  <c r="AC532" i="3"/>
  <c r="L531" i="3"/>
  <c r="T532" i="3" l="1"/>
  <c r="AH532" i="3" s="1"/>
  <c r="U531" i="3"/>
  <c r="Y530" i="3"/>
  <c r="D532" i="3" l="1"/>
  <c r="G532" i="3" s="1"/>
  <c r="AG532" i="3"/>
  <c r="E532" i="3"/>
  <c r="H532" i="3" s="1"/>
  <c r="K532" i="3" s="1"/>
  <c r="AE532" i="3" s="1"/>
  <c r="F532" i="3" l="1"/>
  <c r="I532" i="3"/>
  <c r="J532" i="3"/>
  <c r="M532" i="3"/>
  <c r="N532" i="3" s="1"/>
  <c r="V532" i="3"/>
  <c r="A533" i="3"/>
  <c r="B533" i="3" s="1"/>
  <c r="W532" i="3" l="1"/>
  <c r="AA533" i="3"/>
  <c r="AC533" i="3"/>
  <c r="Z533" i="3"/>
  <c r="AD533" i="3"/>
  <c r="P533" i="3"/>
  <c r="Q533" i="3" s="1"/>
  <c r="R533" i="3" s="1"/>
  <c r="S533" i="3" s="1"/>
  <c r="L532" i="3"/>
  <c r="T533" i="3" l="1"/>
  <c r="AH533" i="3" s="1"/>
  <c r="U532" i="3"/>
  <c r="Y531" i="3"/>
  <c r="AG533" i="3" l="1"/>
  <c r="E533" i="3"/>
  <c r="H533" i="3" s="1"/>
  <c r="K533" i="3" s="1"/>
  <c r="AE533" i="3" s="1"/>
  <c r="D533" i="3"/>
  <c r="F533" i="3" l="1"/>
  <c r="G533" i="3"/>
  <c r="I533" i="3" s="1"/>
  <c r="V533" i="3"/>
  <c r="A534" i="3"/>
  <c r="B534" i="3" s="1"/>
  <c r="W533" i="3" l="1"/>
  <c r="J533" i="3"/>
  <c r="L533" i="3" s="1"/>
  <c r="M533" i="3"/>
  <c r="N533" i="3" s="1"/>
  <c r="Z534" i="3"/>
  <c r="AC534" i="3"/>
  <c r="P534" i="3"/>
  <c r="Q534" i="3" s="1"/>
  <c r="R534" i="3" s="1"/>
  <c r="S534" i="3" s="1"/>
  <c r="AA534" i="3"/>
  <c r="T534" i="3" l="1"/>
  <c r="AG534" i="3" s="1"/>
  <c r="U533" i="3"/>
  <c r="Y532" i="3"/>
  <c r="AH534" i="3" l="1"/>
  <c r="E534" i="3"/>
  <c r="H534" i="3" s="1"/>
  <c r="K534" i="3" s="1"/>
  <c r="AE534" i="3" s="1"/>
  <c r="D534" i="3"/>
  <c r="F534" i="3" l="1"/>
  <c r="G534" i="3"/>
  <c r="I534" i="3" s="1"/>
  <c r="V534" i="3"/>
  <c r="A535" i="3"/>
  <c r="B535" i="3" s="1"/>
  <c r="M534" i="3" l="1"/>
  <c r="N534" i="3" s="1"/>
  <c r="J534" i="3"/>
  <c r="AD534" i="3" s="1"/>
  <c r="W534" i="3"/>
  <c r="Z535" i="3"/>
  <c r="AC535" i="3"/>
  <c r="AD535" i="3"/>
  <c r="P535" i="3"/>
  <c r="Q535" i="3" s="1"/>
  <c r="R535" i="3" s="1"/>
  <c r="S535" i="3" s="1"/>
  <c r="AA535" i="3"/>
  <c r="L534" i="3" l="1"/>
  <c r="U534" i="3" s="1"/>
  <c r="T535" i="3"/>
  <c r="Y533" i="3" l="1"/>
  <c r="AH535" i="3"/>
  <c r="E535" i="3"/>
  <c r="H535" i="3" s="1"/>
  <c r="K535" i="3" s="1"/>
  <c r="AE535" i="3" s="1"/>
  <c r="AG535" i="3"/>
  <c r="D535" i="3"/>
  <c r="F535" i="3" l="1"/>
  <c r="G535" i="3"/>
  <c r="V535" i="3"/>
  <c r="A536" i="3"/>
  <c r="B536" i="3" s="1"/>
  <c r="AD536" i="3" l="1"/>
  <c r="AC536" i="3"/>
  <c r="Z536" i="3"/>
  <c r="P536" i="3"/>
  <c r="Q536" i="3" s="1"/>
  <c r="R536" i="3" s="1"/>
  <c r="S536" i="3" s="1"/>
  <c r="AA536" i="3"/>
  <c r="I535" i="3"/>
  <c r="W535" i="3" s="1"/>
  <c r="J535" i="3"/>
  <c r="M535" i="3"/>
  <c r="N535" i="3" s="1"/>
  <c r="T536" i="3" l="1"/>
  <c r="L535" i="3"/>
  <c r="U535" i="3" l="1"/>
  <c r="E536" i="3" s="1"/>
  <c r="H536" i="3" s="1"/>
  <c r="AG536" i="3"/>
  <c r="AH536" i="3"/>
  <c r="Y534" i="3"/>
  <c r="K536" i="3" l="1"/>
  <c r="AE536" i="3" s="1"/>
  <c r="D536" i="3"/>
  <c r="F536" i="3" l="1"/>
  <c r="G536" i="3"/>
  <c r="V536" i="3"/>
  <c r="A537" i="3"/>
  <c r="B537" i="3" s="1"/>
  <c r="P537" i="3" l="1"/>
  <c r="Q537" i="3" s="1"/>
  <c r="R537" i="3" s="1"/>
  <c r="S537" i="3" s="1"/>
  <c r="Z537" i="3"/>
  <c r="AD537" i="3"/>
  <c r="AA537" i="3"/>
  <c r="AC537" i="3"/>
  <c r="I536" i="3"/>
  <c r="W536" i="3" s="1"/>
  <c r="J536" i="3"/>
  <c r="M536" i="3"/>
  <c r="N536" i="3" s="1"/>
  <c r="L536" i="3" l="1"/>
  <c r="T537" i="3"/>
  <c r="U536" i="3" l="1"/>
  <c r="E537" i="3" s="1"/>
  <c r="H537" i="3" s="1"/>
  <c r="AG537" i="3"/>
  <c r="AH537" i="3"/>
  <c r="Y535" i="3"/>
  <c r="D537" i="3" l="1"/>
  <c r="F537" i="3" s="1"/>
  <c r="K537" i="3"/>
  <c r="AE537" i="3" s="1"/>
  <c r="G537" i="3" l="1"/>
  <c r="I537" i="3" s="1"/>
  <c r="V537" i="3"/>
  <c r="A538" i="3"/>
  <c r="B538" i="3" s="1"/>
  <c r="M537" i="3" l="1"/>
  <c r="N537" i="3" s="1"/>
  <c r="J537" i="3"/>
  <c r="L537" i="3" s="1"/>
  <c r="W537" i="3"/>
  <c r="Z538" i="3"/>
  <c r="P538" i="3"/>
  <c r="Q538" i="3" s="1"/>
  <c r="R538" i="3" s="1"/>
  <c r="S538" i="3" s="1"/>
  <c r="AA538" i="3"/>
  <c r="AC538" i="3"/>
  <c r="AD538" i="3"/>
  <c r="T538" i="3" l="1"/>
  <c r="AG538" i="3" s="1"/>
  <c r="U537" i="3"/>
  <c r="Y536" i="3"/>
  <c r="E538" i="3" l="1"/>
  <c r="H538" i="3" s="1"/>
  <c r="K538" i="3" s="1"/>
  <c r="AE538" i="3" s="1"/>
  <c r="AH538" i="3"/>
  <c r="D538" i="3"/>
  <c r="F538" i="3" l="1"/>
  <c r="G538" i="3"/>
  <c r="I538" i="3" s="1"/>
  <c r="V538" i="3"/>
  <c r="A539" i="3"/>
  <c r="B539" i="3" s="1"/>
  <c r="M538" i="3" l="1"/>
  <c r="N538" i="3" s="1"/>
  <c r="J538" i="3"/>
  <c r="L538" i="3" s="1"/>
  <c r="W538" i="3"/>
  <c r="AA539" i="3"/>
  <c r="AC539" i="3"/>
  <c r="Z539" i="3"/>
  <c r="AD539" i="3"/>
  <c r="P539" i="3"/>
  <c r="Q539" i="3" s="1"/>
  <c r="R539" i="3" s="1"/>
  <c r="S539" i="3" s="1"/>
  <c r="T539" i="3" l="1"/>
  <c r="AG539" i="3" s="1"/>
  <c r="U538" i="3"/>
  <c r="Y537" i="3"/>
  <c r="AH539" i="3" l="1"/>
  <c r="D539" i="3"/>
  <c r="G539" i="3" s="1"/>
  <c r="E539" i="3"/>
  <c r="H539" i="3" s="1"/>
  <c r="K539" i="3" s="1"/>
  <c r="AE539" i="3" s="1"/>
  <c r="F539" i="3" l="1"/>
  <c r="I539" i="3"/>
  <c r="J539" i="3"/>
  <c r="M539" i="3"/>
  <c r="N539" i="3" s="1"/>
  <c r="V539" i="3"/>
  <c r="A540" i="3"/>
  <c r="B540" i="3" s="1"/>
  <c r="W539" i="3" l="1"/>
  <c r="Z540" i="3"/>
  <c r="P540" i="3"/>
  <c r="Q540" i="3" s="1"/>
  <c r="R540" i="3" s="1"/>
  <c r="S540" i="3" s="1"/>
  <c r="AC540" i="3"/>
  <c r="AA540" i="3"/>
  <c r="AD540" i="3"/>
  <c r="L539" i="3"/>
  <c r="U539" i="3" l="1"/>
  <c r="Y538" i="3"/>
  <c r="T540" i="3"/>
  <c r="D540" i="3" l="1"/>
  <c r="G540" i="3" s="1"/>
  <c r="E540" i="3"/>
  <c r="H540" i="3" s="1"/>
  <c r="AG540" i="3"/>
  <c r="AH540" i="3"/>
  <c r="K540" i="3" l="1"/>
  <c r="AE540" i="3" s="1"/>
  <c r="I540" i="3"/>
  <c r="J540" i="3"/>
  <c r="M540" i="3"/>
  <c r="N540" i="3" s="1"/>
  <c r="F540" i="3"/>
  <c r="L540" i="3" l="1"/>
  <c r="V540" i="3"/>
  <c r="W540" i="3" s="1"/>
  <c r="A541" i="3"/>
  <c r="B541" i="3" s="1"/>
  <c r="AA541" i="3" l="1"/>
  <c r="AD541" i="3"/>
  <c r="Z541" i="3"/>
  <c r="AC541" i="3"/>
  <c r="P541" i="3"/>
  <c r="Q541" i="3" s="1"/>
  <c r="R541" i="3" s="1"/>
  <c r="S541" i="3" s="1"/>
  <c r="U540" i="3"/>
  <c r="Y539" i="3"/>
  <c r="T541" i="3" l="1"/>
  <c r="D541" i="3" s="1"/>
  <c r="E541" i="3" l="1"/>
  <c r="H541" i="3" s="1"/>
  <c r="K541" i="3" s="1"/>
  <c r="AE541" i="3" s="1"/>
  <c r="AH541" i="3"/>
  <c r="AG541" i="3"/>
  <c r="G541" i="3"/>
  <c r="F541" i="3" l="1"/>
  <c r="V541" i="3"/>
  <c r="A542" i="3"/>
  <c r="B542" i="3" s="1"/>
  <c r="I541" i="3"/>
  <c r="J541" i="3"/>
  <c r="M541" i="3"/>
  <c r="N541" i="3" s="1"/>
  <c r="L541" i="3" l="1"/>
  <c r="P542" i="3"/>
  <c r="Q542" i="3" s="1"/>
  <c r="R542" i="3" s="1"/>
  <c r="S542" i="3" s="1"/>
  <c r="AA542" i="3"/>
  <c r="Z542" i="3"/>
  <c r="AD542" i="3"/>
  <c r="AC542" i="3"/>
  <c r="W541" i="3"/>
  <c r="T542" i="3" l="1"/>
  <c r="AH542" i="3" s="1"/>
  <c r="U541" i="3"/>
  <c r="Y540" i="3"/>
  <c r="D542" i="3" l="1"/>
  <c r="G542" i="3" s="1"/>
  <c r="AG542" i="3"/>
  <c r="E542" i="3"/>
  <c r="H542" i="3" s="1"/>
  <c r="K542" i="3" s="1"/>
  <c r="AE542" i="3" s="1"/>
  <c r="F542" i="3" l="1"/>
  <c r="V542" i="3"/>
  <c r="A543" i="3"/>
  <c r="B543" i="3" s="1"/>
  <c r="I542" i="3"/>
  <c r="J542" i="3"/>
  <c r="M542" i="3"/>
  <c r="N542" i="3" s="1"/>
  <c r="L542" i="3" l="1"/>
  <c r="AC543" i="3"/>
  <c r="P543" i="3"/>
  <c r="Q543" i="3" s="1"/>
  <c r="R543" i="3" s="1"/>
  <c r="S543" i="3" s="1"/>
  <c r="AA543" i="3"/>
  <c r="Z543" i="3"/>
  <c r="AD543" i="3"/>
  <c r="W542" i="3"/>
  <c r="T543" i="3" l="1"/>
  <c r="AH543" i="3" s="1"/>
  <c r="U542" i="3"/>
  <c r="Y541" i="3"/>
  <c r="D543" i="3" l="1"/>
  <c r="G543" i="3" s="1"/>
  <c r="AG543" i="3"/>
  <c r="E543" i="3"/>
  <c r="H543" i="3" s="1"/>
  <c r="K543" i="3" s="1"/>
  <c r="AE543" i="3" s="1"/>
  <c r="F543" i="3" l="1"/>
  <c r="V543" i="3"/>
  <c r="A544" i="3"/>
  <c r="B544" i="3" s="1"/>
  <c r="I543" i="3"/>
  <c r="J543" i="3"/>
  <c r="M543" i="3"/>
  <c r="N543" i="3" s="1"/>
  <c r="L543" i="3" l="1"/>
  <c r="P544" i="3"/>
  <c r="Q544" i="3" s="1"/>
  <c r="R544" i="3" s="1"/>
  <c r="S544" i="3" s="1"/>
  <c r="AA544" i="3"/>
  <c r="AC544" i="3"/>
  <c r="Z544" i="3"/>
  <c r="W543" i="3"/>
  <c r="T544" i="3" l="1"/>
  <c r="AG544" i="3" s="1"/>
  <c r="U543" i="3"/>
  <c r="Y542" i="3"/>
  <c r="E544" i="3" l="1"/>
  <c r="H544" i="3" s="1"/>
  <c r="K544" i="3" s="1"/>
  <c r="AE544" i="3" s="1"/>
  <c r="AH544" i="3"/>
  <c r="D544" i="3"/>
  <c r="F544" i="3" l="1"/>
  <c r="G544" i="3"/>
  <c r="I544" i="3" s="1"/>
  <c r="V544" i="3"/>
  <c r="A545" i="3"/>
  <c r="B545" i="3" s="1"/>
  <c r="M544" i="3" l="1"/>
  <c r="N544" i="3" s="1"/>
  <c r="J544" i="3"/>
  <c r="AD544" i="3" s="1"/>
  <c r="W544" i="3"/>
  <c r="P545" i="3"/>
  <c r="Q545" i="3" s="1"/>
  <c r="R545" i="3" s="1"/>
  <c r="S545" i="3" s="1"/>
  <c r="AD545" i="3"/>
  <c r="Z545" i="3"/>
  <c r="AC545" i="3"/>
  <c r="AA545" i="3"/>
  <c r="L544" i="3" l="1"/>
  <c r="U544" i="3" s="1"/>
  <c r="T545" i="3"/>
  <c r="Y543" i="3" l="1"/>
  <c r="AH545" i="3"/>
  <c r="D545" i="3"/>
  <c r="G545" i="3" s="1"/>
  <c r="AG545" i="3"/>
  <c r="E545" i="3"/>
  <c r="H545" i="3" s="1"/>
  <c r="K545" i="3" s="1"/>
  <c r="AE545" i="3" s="1"/>
  <c r="F545" i="3" l="1"/>
  <c r="I545" i="3"/>
  <c r="J545" i="3"/>
  <c r="M545" i="3"/>
  <c r="N545" i="3" s="1"/>
  <c r="V545" i="3"/>
  <c r="A546" i="3"/>
  <c r="B546" i="3" s="1"/>
  <c r="W545" i="3" l="1"/>
  <c r="Z546" i="3"/>
  <c r="AA546" i="3"/>
  <c r="AD546" i="3"/>
  <c r="P546" i="3"/>
  <c r="Q546" i="3" s="1"/>
  <c r="R546" i="3" s="1"/>
  <c r="S546" i="3" s="1"/>
  <c r="AC546" i="3"/>
  <c r="L545" i="3"/>
  <c r="T546" i="3" l="1"/>
  <c r="AG546" i="3" s="1"/>
  <c r="U545" i="3"/>
  <c r="Y544" i="3"/>
  <c r="E546" i="3" l="1"/>
  <c r="H546" i="3" s="1"/>
  <c r="K546" i="3" s="1"/>
  <c r="AE546" i="3" s="1"/>
  <c r="AH546" i="3"/>
  <c r="D546" i="3"/>
  <c r="V546" i="3" l="1"/>
  <c r="A547" i="3"/>
  <c r="B547" i="3" s="1"/>
  <c r="F546" i="3"/>
  <c r="G546" i="3"/>
  <c r="I546" i="3" l="1"/>
  <c r="W546" i="3" s="1"/>
  <c r="J546" i="3"/>
  <c r="M546" i="3"/>
  <c r="N546" i="3" s="1"/>
  <c r="AA547" i="3"/>
  <c r="AC547" i="3"/>
  <c r="AD547" i="3"/>
  <c r="Z547" i="3"/>
  <c r="P547" i="3"/>
  <c r="Q547" i="3" s="1"/>
  <c r="R547" i="3" s="1"/>
  <c r="S547" i="3" s="1"/>
  <c r="T547" i="3" l="1"/>
  <c r="L546" i="3"/>
  <c r="U546" i="3" l="1"/>
  <c r="E547" i="3" s="1"/>
  <c r="H547" i="3" s="1"/>
  <c r="AH547" i="3"/>
  <c r="AG547" i="3"/>
  <c r="Y545" i="3"/>
  <c r="D547" i="3" l="1"/>
  <c r="F547" i="3" s="1"/>
  <c r="K547" i="3"/>
  <c r="AE547" i="3" s="1"/>
  <c r="G547" i="3" l="1"/>
  <c r="M547" i="3" s="1"/>
  <c r="N547" i="3" s="1"/>
  <c r="V547" i="3"/>
  <c r="A548" i="3"/>
  <c r="B548" i="3" s="1"/>
  <c r="J547" i="3" l="1"/>
  <c r="L547" i="3" s="1"/>
  <c r="I547" i="3"/>
  <c r="W547" i="3" s="1"/>
  <c r="AC548" i="3"/>
  <c r="P548" i="3"/>
  <c r="Q548" i="3" s="1"/>
  <c r="R548" i="3" s="1"/>
  <c r="S548" i="3" s="1"/>
  <c r="AD548" i="3"/>
  <c r="Z548" i="3"/>
  <c r="AA548" i="3"/>
  <c r="T548" i="3" l="1"/>
  <c r="AH548" i="3" s="1"/>
  <c r="U547" i="3"/>
  <c r="Y546" i="3"/>
  <c r="E548" i="3" l="1"/>
  <c r="H548" i="3" s="1"/>
  <c r="K548" i="3" s="1"/>
  <c r="AE548" i="3" s="1"/>
  <c r="AG548" i="3"/>
  <c r="D548" i="3"/>
  <c r="G548" i="3" s="1"/>
  <c r="F548" i="3" l="1"/>
  <c r="I548" i="3"/>
  <c r="J548" i="3"/>
  <c r="M548" i="3"/>
  <c r="N548" i="3" s="1"/>
  <c r="V548" i="3"/>
  <c r="A549" i="3"/>
  <c r="B549" i="3" s="1"/>
  <c r="W548" i="3" l="1"/>
  <c r="AA549" i="3"/>
  <c r="P549" i="3"/>
  <c r="Q549" i="3" s="1"/>
  <c r="R549" i="3" s="1"/>
  <c r="S549" i="3" s="1"/>
  <c r="Z549" i="3"/>
  <c r="AC549" i="3"/>
  <c r="AD549" i="3"/>
  <c r="L548" i="3"/>
  <c r="U548" i="3" l="1"/>
  <c r="Y547" i="3"/>
  <c r="T549" i="3"/>
  <c r="D549" i="3" l="1"/>
  <c r="G549" i="3" s="1"/>
  <c r="AG549" i="3"/>
  <c r="AH549" i="3"/>
  <c r="E549" i="3"/>
  <c r="H549" i="3" s="1"/>
  <c r="K549" i="3" l="1"/>
  <c r="AE549" i="3" s="1"/>
  <c r="I549" i="3"/>
  <c r="J549" i="3"/>
  <c r="M549" i="3"/>
  <c r="N549" i="3" s="1"/>
  <c r="F549" i="3"/>
  <c r="L549" i="3" l="1"/>
  <c r="V549" i="3"/>
  <c r="W549" i="3" s="1"/>
  <c r="A550" i="3"/>
  <c r="B550" i="3" s="1"/>
  <c r="U549" i="3" l="1"/>
  <c r="Y548" i="3"/>
  <c r="AC550" i="3"/>
  <c r="Z550" i="3"/>
  <c r="AD550" i="3"/>
  <c r="P550" i="3"/>
  <c r="Q550" i="3" s="1"/>
  <c r="R550" i="3" s="1"/>
  <c r="S550" i="3" s="1"/>
  <c r="AA550" i="3"/>
  <c r="T550" i="3" l="1"/>
  <c r="E550" i="3" s="1"/>
  <c r="H550" i="3" s="1"/>
  <c r="AH550" i="3" l="1"/>
  <c r="AG550" i="3"/>
  <c r="K550" i="3"/>
  <c r="AE550" i="3" s="1"/>
  <c r="D550" i="3"/>
  <c r="F550" i="3" l="1"/>
  <c r="G550" i="3"/>
  <c r="V550" i="3"/>
  <c r="A551" i="3"/>
  <c r="B551" i="3" s="1"/>
  <c r="AC551" i="3" l="1"/>
  <c r="AA551" i="3"/>
  <c r="P551" i="3"/>
  <c r="Q551" i="3" s="1"/>
  <c r="R551" i="3" s="1"/>
  <c r="S551" i="3" s="1"/>
  <c r="AD551" i="3"/>
  <c r="Z551" i="3"/>
  <c r="I550" i="3"/>
  <c r="W550" i="3" s="1"/>
  <c r="J550" i="3"/>
  <c r="M550" i="3"/>
  <c r="N550" i="3" s="1"/>
  <c r="T551" i="3" l="1"/>
  <c r="L550" i="3"/>
  <c r="AH551" i="3" l="1"/>
  <c r="AG551" i="3"/>
  <c r="U550" i="3"/>
  <c r="E551" i="3" s="1"/>
  <c r="H551" i="3" s="1"/>
  <c r="Y549" i="3"/>
  <c r="K551" i="3" l="1"/>
  <c r="AE551" i="3" s="1"/>
  <c r="D551" i="3"/>
  <c r="F551" i="3" l="1"/>
  <c r="G551" i="3"/>
  <c r="V551" i="3"/>
  <c r="A552" i="3"/>
  <c r="B552" i="3" s="1"/>
  <c r="P552" i="3" l="1"/>
  <c r="Q552" i="3" s="1"/>
  <c r="R552" i="3" s="1"/>
  <c r="S552" i="3" s="1"/>
  <c r="AD552" i="3"/>
  <c r="AA552" i="3"/>
  <c r="AC552" i="3"/>
  <c r="Z552" i="3"/>
  <c r="I551" i="3"/>
  <c r="W551" i="3" s="1"/>
  <c r="J551" i="3"/>
  <c r="M551" i="3"/>
  <c r="N551" i="3" s="1"/>
  <c r="L551" i="3" l="1"/>
  <c r="T552" i="3"/>
  <c r="AG552" i="3" l="1"/>
  <c r="U551" i="3"/>
  <c r="E552" i="3" s="1"/>
  <c r="H552" i="3" s="1"/>
  <c r="AH552" i="3"/>
  <c r="Y550" i="3"/>
  <c r="D552" i="3" l="1"/>
  <c r="F552" i="3" s="1"/>
  <c r="K552" i="3"/>
  <c r="AE552" i="3" s="1"/>
  <c r="G552" i="3" l="1"/>
  <c r="M552" i="3" s="1"/>
  <c r="N552" i="3" s="1"/>
  <c r="V552" i="3"/>
  <c r="A553" i="3"/>
  <c r="B553" i="3" s="1"/>
  <c r="J552" i="3" l="1"/>
  <c r="L552" i="3" s="1"/>
  <c r="I552" i="3"/>
  <c r="W552" i="3" s="1"/>
  <c r="AD553" i="3"/>
  <c r="P553" i="3"/>
  <c r="Q553" i="3" s="1"/>
  <c r="R553" i="3" s="1"/>
  <c r="S553" i="3" s="1"/>
  <c r="AA553" i="3"/>
  <c r="Z553" i="3"/>
  <c r="AC553" i="3"/>
  <c r="U552" i="3" l="1"/>
  <c r="Y551" i="3"/>
  <c r="T553" i="3"/>
  <c r="D553" i="3" l="1"/>
  <c r="G553" i="3" s="1"/>
  <c r="AH553" i="3"/>
  <c r="E553" i="3"/>
  <c r="H553" i="3" s="1"/>
  <c r="K553" i="3" s="1"/>
  <c r="AE553" i="3" s="1"/>
  <c r="AG553" i="3"/>
  <c r="F553" i="3" l="1"/>
  <c r="V553" i="3"/>
  <c r="A554" i="3"/>
  <c r="B554" i="3" s="1"/>
  <c r="I553" i="3"/>
  <c r="J553" i="3"/>
  <c r="M553" i="3"/>
  <c r="N553" i="3" s="1"/>
  <c r="L553" i="3" l="1"/>
  <c r="Z554" i="3"/>
  <c r="AA554" i="3"/>
  <c r="AC554" i="3"/>
  <c r="P554" i="3"/>
  <c r="Q554" i="3" s="1"/>
  <c r="R554" i="3" s="1"/>
  <c r="S554" i="3" s="1"/>
  <c r="W553" i="3"/>
  <c r="T554" i="3" l="1"/>
  <c r="AG554" i="3" s="1"/>
  <c r="U553" i="3"/>
  <c r="Y552" i="3"/>
  <c r="D554" i="3" l="1"/>
  <c r="G554" i="3" s="1"/>
  <c r="AH554" i="3"/>
  <c r="E554" i="3"/>
  <c r="H554" i="3" s="1"/>
  <c r="K554" i="3" s="1"/>
  <c r="AE554" i="3" s="1"/>
  <c r="F554" i="3" l="1"/>
  <c r="V554" i="3"/>
  <c r="A555" i="3"/>
  <c r="B555" i="3" s="1"/>
  <c r="I554" i="3"/>
  <c r="J554" i="3"/>
  <c r="AD554" i="3" s="1"/>
  <c r="M554" i="3"/>
  <c r="N554" i="3" s="1"/>
  <c r="L554" i="3" l="1"/>
  <c r="Z555" i="3"/>
  <c r="AC555" i="3"/>
  <c r="P555" i="3"/>
  <c r="Q555" i="3" s="1"/>
  <c r="R555" i="3" s="1"/>
  <c r="S555" i="3" s="1"/>
  <c r="AA555" i="3"/>
  <c r="AD555" i="3"/>
  <c r="W554" i="3"/>
  <c r="T555" i="3" l="1"/>
  <c r="AG555" i="3" s="1"/>
  <c r="U554" i="3"/>
  <c r="Y553" i="3"/>
  <c r="AH555" i="3" l="1"/>
  <c r="D555" i="3"/>
  <c r="G555" i="3" s="1"/>
  <c r="E555" i="3"/>
  <c r="H555" i="3" s="1"/>
  <c r="K555" i="3" l="1"/>
  <c r="AE555" i="3" s="1"/>
  <c r="I555" i="3"/>
  <c r="J555" i="3"/>
  <c r="M555" i="3"/>
  <c r="N555" i="3" s="1"/>
  <c r="F555" i="3"/>
  <c r="V555" i="3" l="1"/>
  <c r="W555" i="3" s="1"/>
  <c r="A556" i="3"/>
  <c r="B556" i="3" s="1"/>
  <c r="L555" i="3"/>
  <c r="U555" i="3" l="1"/>
  <c r="Y554" i="3"/>
  <c r="P556" i="3"/>
  <c r="Q556" i="3" s="1"/>
  <c r="R556" i="3" s="1"/>
  <c r="S556" i="3" s="1"/>
  <c r="AA556" i="3"/>
  <c r="AD556" i="3"/>
  <c r="Z556" i="3"/>
  <c r="AC556" i="3"/>
  <c r="T556" i="3" l="1"/>
  <c r="D556" i="3" s="1"/>
  <c r="AH556" i="3" l="1"/>
  <c r="E556" i="3"/>
  <c r="H556" i="3" s="1"/>
  <c r="K556" i="3" s="1"/>
  <c r="AE556" i="3" s="1"/>
  <c r="AG556" i="3"/>
  <c r="G556" i="3"/>
  <c r="F556" i="3" l="1"/>
  <c r="V556" i="3"/>
  <c r="A557" i="3"/>
  <c r="B557" i="3" s="1"/>
  <c r="I556" i="3"/>
  <c r="J556" i="3"/>
  <c r="M556" i="3"/>
  <c r="N556" i="3" s="1"/>
  <c r="W556" i="3" l="1"/>
  <c r="L556" i="3"/>
  <c r="AC557" i="3"/>
  <c r="Z557" i="3"/>
  <c r="AD557" i="3"/>
  <c r="AA557" i="3"/>
  <c r="P557" i="3"/>
  <c r="Q557" i="3" s="1"/>
  <c r="R557" i="3" s="1"/>
  <c r="S557" i="3" s="1"/>
  <c r="T557" i="3" l="1"/>
  <c r="AG557" i="3" s="1"/>
  <c r="U556" i="3"/>
  <c r="Y555" i="3"/>
  <c r="D557" i="3" l="1"/>
  <c r="G557" i="3" s="1"/>
  <c r="AH557" i="3"/>
  <c r="E557" i="3"/>
  <c r="H557" i="3" s="1"/>
  <c r="K557" i="3" s="1"/>
  <c r="AE557" i="3" s="1"/>
  <c r="F557" i="3" l="1"/>
  <c r="V557" i="3"/>
  <c r="A558" i="3"/>
  <c r="B558" i="3" s="1"/>
  <c r="I557" i="3"/>
  <c r="J557" i="3"/>
  <c r="M557" i="3"/>
  <c r="N557" i="3" s="1"/>
  <c r="W557" i="3" l="1"/>
  <c r="L557" i="3"/>
  <c r="P558" i="3"/>
  <c r="Q558" i="3" s="1"/>
  <c r="R558" i="3" s="1"/>
  <c r="S558" i="3" s="1"/>
  <c r="AD558" i="3"/>
  <c r="Z558" i="3"/>
  <c r="AA558" i="3"/>
  <c r="AC558" i="3"/>
  <c r="T558" i="3" l="1"/>
  <c r="AG558" i="3" s="1"/>
  <c r="U557" i="3"/>
  <c r="Y556" i="3"/>
  <c r="AH558" i="3" l="1"/>
  <c r="E558" i="3"/>
  <c r="H558" i="3" s="1"/>
  <c r="K558" i="3" s="1"/>
  <c r="AE558" i="3" s="1"/>
  <c r="D558" i="3"/>
  <c r="F558" i="3" l="1"/>
  <c r="G558" i="3"/>
  <c r="I558" i="3" s="1"/>
  <c r="V558" i="3"/>
  <c r="A559" i="3"/>
  <c r="B559" i="3" s="1"/>
  <c r="M558" i="3" l="1"/>
  <c r="N558" i="3" s="1"/>
  <c r="J558" i="3"/>
  <c r="L558" i="3" s="1"/>
  <c r="AA559" i="3"/>
  <c r="Z559" i="3"/>
  <c r="AD559" i="3"/>
  <c r="AC559" i="3"/>
  <c r="P559" i="3"/>
  <c r="Q559" i="3" s="1"/>
  <c r="R559" i="3" s="1"/>
  <c r="S559" i="3" s="1"/>
  <c r="W558" i="3"/>
  <c r="T559" i="3" l="1"/>
  <c r="AG559" i="3" s="1"/>
  <c r="U558" i="3"/>
  <c r="Y557" i="3"/>
  <c r="AH559" i="3" l="1"/>
  <c r="E559" i="3"/>
  <c r="H559" i="3" s="1"/>
  <c r="K559" i="3" s="1"/>
  <c r="AE559" i="3" s="1"/>
  <c r="D559" i="3"/>
  <c r="F559" i="3" l="1"/>
  <c r="G559" i="3"/>
  <c r="I559" i="3" s="1"/>
  <c r="V559" i="3"/>
  <c r="A560" i="3"/>
  <c r="B560" i="3" s="1"/>
  <c r="M559" i="3" l="1"/>
  <c r="N559" i="3" s="1"/>
  <c r="J559" i="3"/>
  <c r="L559" i="3" s="1"/>
  <c r="Z560" i="3"/>
  <c r="AD560" i="3"/>
  <c r="AC560" i="3"/>
  <c r="AA560" i="3"/>
  <c r="P560" i="3"/>
  <c r="Q560" i="3" s="1"/>
  <c r="R560" i="3" s="1"/>
  <c r="S560" i="3" s="1"/>
  <c r="W559" i="3"/>
  <c r="T560" i="3" l="1"/>
  <c r="AH560" i="3" s="1"/>
  <c r="U559" i="3"/>
  <c r="Y558" i="3"/>
  <c r="AG560" i="3" l="1"/>
  <c r="E560" i="3"/>
  <c r="H560" i="3" s="1"/>
  <c r="K560" i="3" s="1"/>
  <c r="AE560" i="3" s="1"/>
  <c r="D560" i="3"/>
  <c r="F560" i="3" l="1"/>
  <c r="G560" i="3"/>
  <c r="I560" i="3" s="1"/>
  <c r="V560" i="3"/>
  <c r="A561" i="3"/>
  <c r="B561" i="3" s="1"/>
  <c r="W560" i="3" l="1"/>
  <c r="J560" i="3"/>
  <c r="L560" i="3" s="1"/>
  <c r="M560" i="3"/>
  <c r="N560" i="3" s="1"/>
  <c r="AD561" i="3"/>
  <c r="AA561" i="3"/>
  <c r="P561" i="3"/>
  <c r="Q561" i="3" s="1"/>
  <c r="R561" i="3" s="1"/>
  <c r="S561" i="3" s="1"/>
  <c r="AC561" i="3"/>
  <c r="Z561" i="3"/>
  <c r="T561" i="3" l="1"/>
  <c r="AH561" i="3" s="1"/>
  <c r="U560" i="3"/>
  <c r="Y559" i="3"/>
  <c r="D561" i="3" l="1"/>
  <c r="G561" i="3" s="1"/>
  <c r="AG561" i="3"/>
  <c r="E561" i="3"/>
  <c r="H561" i="3" s="1"/>
  <c r="K561" i="3" s="1"/>
  <c r="AE561" i="3" s="1"/>
  <c r="F561" i="3" l="1"/>
  <c r="V561" i="3"/>
  <c r="A562" i="3"/>
  <c r="B562" i="3" s="1"/>
  <c r="I561" i="3"/>
  <c r="J561" i="3"/>
  <c r="M561" i="3"/>
  <c r="N561" i="3" s="1"/>
  <c r="L561" i="3" l="1"/>
  <c r="W561" i="3"/>
  <c r="AC562" i="3"/>
  <c r="Z562" i="3"/>
  <c r="AA562" i="3"/>
  <c r="AD562" i="3"/>
  <c r="P562" i="3"/>
  <c r="Q562" i="3" s="1"/>
  <c r="R562" i="3" s="1"/>
  <c r="S562" i="3" s="1"/>
  <c r="U561" i="3" l="1"/>
  <c r="Y560" i="3"/>
  <c r="T562" i="3"/>
  <c r="AG562" i="3" s="1"/>
  <c r="E562" i="3" l="1"/>
  <c r="H562" i="3" s="1"/>
  <c r="K562" i="3" s="1"/>
  <c r="AE562" i="3" s="1"/>
  <c r="D562" i="3"/>
  <c r="G562" i="3" s="1"/>
  <c r="AH562" i="3"/>
  <c r="F562" i="3" l="1"/>
  <c r="I562" i="3"/>
  <c r="J562" i="3"/>
  <c r="M562" i="3"/>
  <c r="N562" i="3" s="1"/>
  <c r="V562" i="3"/>
  <c r="A563" i="3"/>
  <c r="B563" i="3" s="1"/>
  <c r="W562" i="3" l="1"/>
  <c r="Z563" i="3"/>
  <c r="AC563" i="3"/>
  <c r="AA563" i="3"/>
  <c r="AD563" i="3"/>
  <c r="P563" i="3"/>
  <c r="Q563" i="3" s="1"/>
  <c r="R563" i="3" s="1"/>
  <c r="S563" i="3" s="1"/>
  <c r="L562" i="3"/>
  <c r="T563" i="3" l="1"/>
  <c r="AH563" i="3" s="1"/>
  <c r="U562" i="3"/>
  <c r="Y561" i="3"/>
  <c r="E563" i="3" l="1"/>
  <c r="H563" i="3" s="1"/>
  <c r="K563" i="3" s="1"/>
  <c r="AE563" i="3" s="1"/>
  <c r="D563" i="3"/>
  <c r="AG563" i="3"/>
  <c r="F563" i="3" l="1"/>
  <c r="G563" i="3"/>
  <c r="I563" i="3" s="1"/>
  <c r="V563" i="3"/>
  <c r="A564" i="3"/>
  <c r="B564" i="3" s="1"/>
  <c r="M563" i="3" l="1"/>
  <c r="N563" i="3" s="1"/>
  <c r="J563" i="3"/>
  <c r="L563" i="3" s="1"/>
  <c r="P564" i="3"/>
  <c r="Q564" i="3" s="1"/>
  <c r="R564" i="3" s="1"/>
  <c r="S564" i="3" s="1"/>
  <c r="AC564" i="3"/>
  <c r="AA564" i="3"/>
  <c r="Z564" i="3"/>
  <c r="W563" i="3"/>
  <c r="T564" i="3" l="1"/>
  <c r="AH564" i="3" s="1"/>
  <c r="U563" i="3"/>
  <c r="Y562" i="3"/>
  <c r="D564" i="3" l="1"/>
  <c r="G564" i="3" s="1"/>
  <c r="AG564" i="3"/>
  <c r="E564" i="3"/>
  <c r="H564" i="3" s="1"/>
  <c r="K564" i="3" s="1"/>
  <c r="AE564" i="3" s="1"/>
  <c r="F564" i="3" l="1"/>
  <c r="V564" i="3"/>
  <c r="A565" i="3"/>
  <c r="B565" i="3" s="1"/>
  <c r="I564" i="3"/>
  <c r="J564" i="3"/>
  <c r="AD564" i="3" s="1"/>
  <c r="M564" i="3"/>
  <c r="N564" i="3" s="1"/>
  <c r="L564" i="3" l="1"/>
  <c r="AD565" i="3"/>
  <c r="Z565" i="3"/>
  <c r="AC565" i="3"/>
  <c r="AA565" i="3"/>
  <c r="P565" i="3"/>
  <c r="Q565" i="3" s="1"/>
  <c r="R565" i="3" s="1"/>
  <c r="S565" i="3" s="1"/>
  <c r="W564" i="3"/>
  <c r="T565" i="3" l="1"/>
  <c r="AH565" i="3" s="1"/>
  <c r="U564" i="3"/>
  <c r="Y563" i="3"/>
  <c r="AG565" i="3" l="1"/>
  <c r="E565" i="3"/>
  <c r="H565" i="3" s="1"/>
  <c r="K565" i="3" s="1"/>
  <c r="AE565" i="3" s="1"/>
  <c r="D565" i="3"/>
  <c r="F565" i="3" l="1"/>
  <c r="G565" i="3"/>
  <c r="I565" i="3" s="1"/>
  <c r="V565" i="3"/>
  <c r="A566" i="3"/>
  <c r="B566" i="3" s="1"/>
  <c r="M565" i="3" l="1"/>
  <c r="N565" i="3" s="1"/>
  <c r="W565" i="3"/>
  <c r="J565" i="3"/>
  <c r="L565" i="3" s="1"/>
  <c r="AC566" i="3"/>
  <c r="AD566" i="3"/>
  <c r="Z566" i="3"/>
  <c r="AA566" i="3"/>
  <c r="P566" i="3"/>
  <c r="Q566" i="3" s="1"/>
  <c r="R566" i="3" s="1"/>
  <c r="S566" i="3" s="1"/>
  <c r="T566" i="3" l="1"/>
  <c r="AH566" i="3" s="1"/>
  <c r="U565" i="3"/>
  <c r="Y564" i="3"/>
  <c r="AG566" i="3" l="1"/>
  <c r="D566" i="3"/>
  <c r="G566" i="3" s="1"/>
  <c r="E566" i="3"/>
  <c r="H566" i="3" s="1"/>
  <c r="K566" i="3" s="1"/>
  <c r="AE566" i="3" s="1"/>
  <c r="F566" i="3" l="1"/>
  <c r="I566" i="3"/>
  <c r="J566" i="3"/>
  <c r="M566" i="3"/>
  <c r="N566" i="3" s="1"/>
  <c r="V566" i="3"/>
  <c r="A567" i="3"/>
  <c r="B567" i="3" s="1"/>
  <c r="W566" i="3" l="1"/>
  <c r="P567" i="3"/>
  <c r="Q567" i="3" s="1"/>
  <c r="R567" i="3" s="1"/>
  <c r="S567" i="3" s="1"/>
  <c r="AD567" i="3"/>
  <c r="AA567" i="3"/>
  <c r="AC567" i="3"/>
  <c r="Z567" i="3"/>
  <c r="L566" i="3"/>
  <c r="T567" i="3" l="1"/>
  <c r="AG567" i="3" s="1"/>
  <c r="U566" i="3"/>
  <c r="Y565" i="3"/>
  <c r="E567" i="3" l="1"/>
  <c r="H567" i="3" s="1"/>
  <c r="K567" i="3" s="1"/>
  <c r="AE567" i="3" s="1"/>
  <c r="D567" i="3"/>
  <c r="AH567" i="3"/>
  <c r="F567" i="3" l="1"/>
  <c r="G567" i="3"/>
  <c r="I567" i="3" s="1"/>
  <c r="V567" i="3"/>
  <c r="A568" i="3"/>
  <c r="B568" i="3" s="1"/>
  <c r="M567" i="3" l="1"/>
  <c r="N567" i="3" s="1"/>
  <c r="J567" i="3"/>
  <c r="L567" i="3" s="1"/>
  <c r="W567" i="3"/>
  <c r="AA568" i="3"/>
  <c r="Z568" i="3"/>
  <c r="AC568" i="3"/>
  <c r="AD568" i="3"/>
  <c r="P568" i="3"/>
  <c r="Q568" i="3" s="1"/>
  <c r="R568" i="3" s="1"/>
  <c r="S568" i="3" s="1"/>
  <c r="T568" i="3" l="1"/>
  <c r="AG568" i="3" s="1"/>
  <c r="U567" i="3"/>
  <c r="Y566" i="3"/>
  <c r="AH568" i="3" l="1"/>
  <c r="E568" i="3"/>
  <c r="H568" i="3" s="1"/>
  <c r="K568" i="3" s="1"/>
  <c r="AE568" i="3" s="1"/>
  <c r="D568" i="3"/>
  <c r="F568" i="3" l="1"/>
  <c r="G568" i="3"/>
  <c r="I568" i="3" s="1"/>
  <c r="V568" i="3"/>
  <c r="A569" i="3"/>
  <c r="B569" i="3" s="1"/>
  <c r="M568" i="3" l="1"/>
  <c r="N568" i="3" s="1"/>
  <c r="J568" i="3"/>
  <c r="L568" i="3" s="1"/>
  <c r="P569" i="3"/>
  <c r="Q569" i="3" s="1"/>
  <c r="R569" i="3" s="1"/>
  <c r="S569" i="3" s="1"/>
  <c r="AD569" i="3"/>
  <c r="AC569" i="3"/>
  <c r="AA569" i="3"/>
  <c r="Z569" i="3"/>
  <c r="W568" i="3"/>
  <c r="U568" i="3" l="1"/>
  <c r="Y567" i="3"/>
  <c r="T569" i="3"/>
  <c r="AG569" i="3" s="1"/>
  <c r="E569" i="3" l="1"/>
  <c r="H569" i="3" s="1"/>
  <c r="AH569" i="3"/>
  <c r="D569" i="3"/>
  <c r="F569" i="3" l="1"/>
  <c r="G569" i="3"/>
  <c r="K569" i="3"/>
  <c r="AE569" i="3" s="1"/>
  <c r="V569" i="3" l="1"/>
  <c r="A570" i="3"/>
  <c r="B570" i="3" s="1"/>
  <c r="I569" i="3"/>
  <c r="J569" i="3"/>
  <c r="M569" i="3"/>
  <c r="N569" i="3" s="1"/>
  <c r="L569" i="3" l="1"/>
  <c r="Z570" i="3"/>
  <c r="AA570" i="3"/>
  <c r="AC570" i="3"/>
  <c r="AD570" i="3"/>
  <c r="P570" i="3"/>
  <c r="Q570" i="3" s="1"/>
  <c r="R570" i="3" s="1"/>
  <c r="S570" i="3" s="1"/>
  <c r="W569" i="3"/>
  <c r="T570" i="3" l="1"/>
  <c r="AG570" i="3" s="1"/>
  <c r="U569" i="3"/>
  <c r="Y568" i="3"/>
  <c r="E570" i="3" l="1"/>
  <c r="H570" i="3" s="1"/>
  <c r="K570" i="3" s="1"/>
  <c r="AE570" i="3" s="1"/>
  <c r="AH570" i="3"/>
  <c r="D570" i="3"/>
  <c r="F570" i="3" l="1"/>
  <c r="G570" i="3"/>
  <c r="I570" i="3" s="1"/>
  <c r="V570" i="3"/>
  <c r="A571" i="3"/>
  <c r="B571" i="3" s="1"/>
  <c r="M570" i="3" l="1"/>
  <c r="N570" i="3" s="1"/>
  <c r="J570" i="3"/>
  <c r="L570" i="3" s="1"/>
  <c r="AD571" i="3"/>
  <c r="AA571" i="3"/>
  <c r="AC571" i="3"/>
  <c r="Z571" i="3"/>
  <c r="P571" i="3"/>
  <c r="Q571" i="3" s="1"/>
  <c r="R571" i="3" s="1"/>
  <c r="S571" i="3" s="1"/>
  <c r="W570" i="3"/>
  <c r="T571" i="3" l="1"/>
  <c r="AH571" i="3" s="1"/>
  <c r="U570" i="3"/>
  <c r="Y569" i="3"/>
  <c r="E571" i="3" l="1"/>
  <c r="H571" i="3" s="1"/>
  <c r="K571" i="3" s="1"/>
  <c r="AE571" i="3" s="1"/>
  <c r="AG571" i="3"/>
  <c r="D571" i="3"/>
  <c r="F571" i="3" l="1"/>
  <c r="G571" i="3"/>
  <c r="I571" i="3" s="1"/>
  <c r="V571" i="3"/>
  <c r="A572" i="3"/>
  <c r="B572" i="3" s="1"/>
  <c r="J571" i="3" l="1"/>
  <c r="L571" i="3" s="1"/>
  <c r="M571" i="3"/>
  <c r="N571" i="3" s="1"/>
  <c r="AA572" i="3"/>
  <c r="AC572" i="3"/>
  <c r="P572" i="3"/>
  <c r="Q572" i="3" s="1"/>
  <c r="R572" i="3" s="1"/>
  <c r="S572" i="3" s="1"/>
  <c r="Z572" i="3"/>
  <c r="AD572" i="3"/>
  <c r="W571" i="3"/>
  <c r="T572" i="3" l="1"/>
  <c r="AH572" i="3" s="1"/>
  <c r="U571" i="3"/>
  <c r="Y570" i="3"/>
  <c r="AG572" i="3" l="1"/>
  <c r="E572" i="3"/>
  <c r="H572" i="3" s="1"/>
  <c r="K572" i="3" s="1"/>
  <c r="AE572" i="3" s="1"/>
  <c r="D572" i="3"/>
  <c r="F572" i="3" l="1"/>
  <c r="G572" i="3"/>
  <c r="I572" i="3" s="1"/>
  <c r="V572" i="3"/>
  <c r="A573" i="3"/>
  <c r="B573" i="3" s="1"/>
  <c r="M572" i="3" l="1"/>
  <c r="N572" i="3" s="1"/>
  <c r="J572" i="3"/>
  <c r="L572" i="3" s="1"/>
  <c r="P573" i="3"/>
  <c r="Q573" i="3" s="1"/>
  <c r="R573" i="3" s="1"/>
  <c r="S573" i="3" s="1"/>
  <c r="AC573" i="3"/>
  <c r="AA573" i="3"/>
  <c r="AD573" i="3"/>
  <c r="Z573" i="3"/>
  <c r="W572" i="3"/>
  <c r="T573" i="3" l="1"/>
  <c r="AH573" i="3" s="1"/>
  <c r="U572" i="3"/>
  <c r="Y571" i="3"/>
  <c r="AG573" i="3" l="1"/>
  <c r="D573" i="3"/>
  <c r="E573" i="3"/>
  <c r="H573" i="3" s="1"/>
  <c r="K573" i="3" l="1"/>
  <c r="AE573" i="3" s="1"/>
  <c r="F573" i="3"/>
  <c r="G573" i="3"/>
  <c r="I573" i="3" l="1"/>
  <c r="J573" i="3"/>
  <c r="M573" i="3"/>
  <c r="N573" i="3" s="1"/>
  <c r="V573" i="3"/>
  <c r="A574" i="3"/>
  <c r="B574" i="3" s="1"/>
  <c r="W573" i="3" l="1"/>
  <c r="P574" i="3"/>
  <c r="Q574" i="3" s="1"/>
  <c r="R574" i="3" s="1"/>
  <c r="S574" i="3" s="1"/>
  <c r="Z574" i="3"/>
  <c r="AC574" i="3"/>
  <c r="AA574" i="3"/>
  <c r="L573" i="3"/>
  <c r="U573" i="3" l="1"/>
  <c r="Y572" i="3"/>
  <c r="T574" i="3"/>
  <c r="D574" i="3" l="1"/>
  <c r="G574" i="3" s="1"/>
  <c r="AG574" i="3"/>
  <c r="E574" i="3"/>
  <c r="H574" i="3" s="1"/>
  <c r="AH574" i="3"/>
  <c r="K574" i="3" l="1"/>
  <c r="AE574" i="3" s="1"/>
  <c r="I574" i="3"/>
  <c r="J574" i="3"/>
  <c r="AD574" i="3" s="1"/>
  <c r="M574" i="3"/>
  <c r="N574" i="3" s="1"/>
  <c r="F574" i="3"/>
  <c r="L574" i="3" l="1"/>
  <c r="V574" i="3"/>
  <c r="W574" i="3" s="1"/>
  <c r="A575" i="3"/>
  <c r="B575" i="3" s="1"/>
  <c r="AD575" i="3" l="1"/>
  <c r="P575" i="3"/>
  <c r="Q575" i="3" s="1"/>
  <c r="R575" i="3" s="1"/>
  <c r="S575" i="3" s="1"/>
  <c r="AA575" i="3"/>
  <c r="AC575" i="3"/>
  <c r="Z575" i="3"/>
  <c r="U574" i="3"/>
  <c r="Y573" i="3"/>
  <c r="T575" i="3" l="1"/>
  <c r="E575" i="3" s="1"/>
  <c r="H575" i="3" s="1"/>
  <c r="K575" i="3" l="1"/>
  <c r="AE575" i="3" s="1"/>
  <c r="D575" i="3"/>
  <c r="AH575" i="3"/>
  <c r="AG575" i="3"/>
  <c r="F575" i="3" l="1"/>
  <c r="G575" i="3"/>
  <c r="V575" i="3"/>
  <c r="A576" i="3"/>
  <c r="B576" i="3" s="1"/>
  <c r="AD576" i="3" l="1"/>
  <c r="Z576" i="3"/>
  <c r="AA576" i="3"/>
  <c r="AC576" i="3"/>
  <c r="P576" i="3"/>
  <c r="Q576" i="3" s="1"/>
  <c r="R576" i="3" s="1"/>
  <c r="S576" i="3" s="1"/>
  <c r="I575" i="3"/>
  <c r="W575" i="3" s="1"/>
  <c r="J575" i="3"/>
  <c r="M575" i="3"/>
  <c r="N575" i="3" s="1"/>
  <c r="T576" i="3" l="1"/>
  <c r="L575" i="3"/>
  <c r="AG576" i="3" l="1"/>
  <c r="AH576" i="3"/>
  <c r="U575" i="3"/>
  <c r="D576" i="3" s="1"/>
  <c r="Y574" i="3"/>
  <c r="E576" i="3" l="1"/>
  <c r="H576" i="3" s="1"/>
  <c r="K576" i="3" s="1"/>
  <c r="AE576" i="3" s="1"/>
  <c r="G576" i="3"/>
  <c r="F576" i="3" l="1"/>
  <c r="V576" i="3"/>
  <c r="A577" i="3"/>
  <c r="B577" i="3" s="1"/>
  <c r="I576" i="3"/>
  <c r="J576" i="3"/>
  <c r="M576" i="3"/>
  <c r="N576" i="3" s="1"/>
  <c r="L576" i="3" l="1"/>
  <c r="P577" i="3"/>
  <c r="Q577" i="3" s="1"/>
  <c r="R577" i="3" s="1"/>
  <c r="S577" i="3" s="1"/>
  <c r="AA577" i="3"/>
  <c r="AC577" i="3"/>
  <c r="AD577" i="3"/>
  <c r="Z577" i="3"/>
  <c r="W576" i="3"/>
  <c r="T577" i="3" l="1"/>
  <c r="AG577" i="3" s="1"/>
  <c r="U576" i="3"/>
  <c r="Y575" i="3"/>
  <c r="E577" i="3" l="1"/>
  <c r="H577" i="3" s="1"/>
  <c r="K577" i="3" s="1"/>
  <c r="AE577" i="3" s="1"/>
  <c r="AH577" i="3"/>
  <c r="D577" i="3"/>
  <c r="F577" i="3" l="1"/>
  <c r="G577" i="3"/>
  <c r="I577" i="3" s="1"/>
  <c r="V577" i="3"/>
  <c r="A578" i="3"/>
  <c r="B578" i="3" s="1"/>
  <c r="M577" i="3" l="1"/>
  <c r="N577" i="3" s="1"/>
  <c r="J577" i="3"/>
  <c r="L577" i="3" s="1"/>
  <c r="Z578" i="3"/>
  <c r="AA578" i="3"/>
  <c r="AC578" i="3"/>
  <c r="AD578" i="3"/>
  <c r="P578" i="3"/>
  <c r="Q578" i="3" s="1"/>
  <c r="R578" i="3" s="1"/>
  <c r="S578" i="3" s="1"/>
  <c r="W577" i="3"/>
  <c r="T578" i="3" l="1"/>
  <c r="AG578" i="3" s="1"/>
  <c r="U577" i="3"/>
  <c r="Y576" i="3"/>
  <c r="D578" i="3" l="1"/>
  <c r="G578" i="3" s="1"/>
  <c r="E578" i="3"/>
  <c r="H578" i="3" s="1"/>
  <c r="K578" i="3" s="1"/>
  <c r="AE578" i="3" s="1"/>
  <c r="AH578" i="3"/>
  <c r="F578" i="3" l="1"/>
  <c r="I578" i="3"/>
  <c r="J578" i="3"/>
  <c r="M578" i="3"/>
  <c r="N578" i="3" s="1"/>
  <c r="V578" i="3"/>
  <c r="A579" i="3"/>
  <c r="B579" i="3" s="1"/>
  <c r="W578" i="3" l="1"/>
  <c r="AD579" i="3"/>
  <c r="AA579" i="3"/>
  <c r="Z579" i="3"/>
  <c r="AC579" i="3"/>
  <c r="P579" i="3"/>
  <c r="Q579" i="3" s="1"/>
  <c r="R579" i="3" s="1"/>
  <c r="S579" i="3" s="1"/>
  <c r="L578" i="3"/>
  <c r="T579" i="3" l="1"/>
  <c r="AG579" i="3" s="1"/>
  <c r="U578" i="3"/>
  <c r="Y577" i="3"/>
  <c r="E579" i="3" l="1"/>
  <c r="H579" i="3" s="1"/>
  <c r="K579" i="3" s="1"/>
  <c r="AE579" i="3" s="1"/>
  <c r="D579" i="3"/>
  <c r="AH579" i="3"/>
  <c r="F579" i="3" l="1"/>
  <c r="G579" i="3"/>
  <c r="I579" i="3" s="1"/>
  <c r="V579" i="3"/>
  <c r="A580" i="3"/>
  <c r="B580" i="3" s="1"/>
  <c r="M579" i="3" l="1"/>
  <c r="N579" i="3" s="1"/>
  <c r="J579" i="3"/>
  <c r="L579" i="3" s="1"/>
  <c r="W579" i="3"/>
  <c r="P580" i="3"/>
  <c r="Q580" i="3" s="1"/>
  <c r="R580" i="3" s="1"/>
  <c r="S580" i="3" s="1"/>
  <c r="AD580" i="3"/>
  <c r="AA580" i="3"/>
  <c r="Z580" i="3"/>
  <c r="AC580" i="3"/>
  <c r="U579" i="3" l="1"/>
  <c r="Y578" i="3"/>
  <c r="T580" i="3"/>
  <c r="AG580" i="3" s="1"/>
  <c r="D580" i="3" l="1"/>
  <c r="AH580" i="3"/>
  <c r="E580" i="3"/>
  <c r="H580" i="3" s="1"/>
  <c r="K580" i="3" l="1"/>
  <c r="AE580" i="3" s="1"/>
  <c r="F580" i="3"/>
  <c r="G580" i="3"/>
  <c r="I580" i="3" l="1"/>
  <c r="J580" i="3"/>
  <c r="M580" i="3"/>
  <c r="N580" i="3" s="1"/>
  <c r="V580" i="3"/>
  <c r="A581" i="3"/>
  <c r="B581" i="3" s="1"/>
  <c r="W580" i="3" l="1"/>
  <c r="AA581" i="3"/>
  <c r="P581" i="3"/>
  <c r="Q581" i="3" s="1"/>
  <c r="R581" i="3" s="1"/>
  <c r="S581" i="3" s="1"/>
  <c r="AD581" i="3"/>
  <c r="AC581" i="3"/>
  <c r="Z581" i="3"/>
  <c r="L580" i="3"/>
  <c r="T581" i="3" l="1"/>
  <c r="AH581" i="3" s="1"/>
  <c r="U580" i="3"/>
  <c r="Y579" i="3"/>
  <c r="E581" i="3" l="1"/>
  <c r="H581" i="3" s="1"/>
  <c r="K581" i="3" s="1"/>
  <c r="AE581" i="3" s="1"/>
  <c r="AG581" i="3"/>
  <c r="D581" i="3"/>
  <c r="F581" i="3" l="1"/>
  <c r="G581" i="3"/>
  <c r="V581" i="3"/>
  <c r="A582" i="3"/>
  <c r="B582" i="3" s="1"/>
  <c r="AA582" i="3" l="1"/>
  <c r="Z582" i="3"/>
  <c r="P582" i="3"/>
  <c r="Q582" i="3" s="1"/>
  <c r="R582" i="3" s="1"/>
  <c r="S582" i="3" s="1"/>
  <c r="AC582" i="3"/>
  <c r="AD582" i="3"/>
  <c r="I581" i="3"/>
  <c r="W581" i="3" s="1"/>
  <c r="J581" i="3"/>
  <c r="M581" i="3"/>
  <c r="N581" i="3" s="1"/>
  <c r="L581" i="3" l="1"/>
  <c r="T582" i="3"/>
  <c r="U581" i="3" l="1"/>
  <c r="D582" i="3" s="1"/>
  <c r="AG582" i="3"/>
  <c r="AH582" i="3"/>
  <c r="Y580" i="3"/>
  <c r="E582" i="3" l="1"/>
  <c r="H582" i="3" s="1"/>
  <c r="K582" i="3" s="1"/>
  <c r="AE582" i="3" s="1"/>
  <c r="G582" i="3"/>
  <c r="F582" i="3" l="1"/>
  <c r="I582" i="3"/>
  <c r="J582" i="3"/>
  <c r="M582" i="3"/>
  <c r="N582" i="3" s="1"/>
  <c r="V582" i="3"/>
  <c r="A583" i="3"/>
  <c r="B583" i="3" s="1"/>
  <c r="W582" i="3" l="1"/>
  <c r="P583" i="3"/>
  <c r="Q583" i="3" s="1"/>
  <c r="R583" i="3" s="1"/>
  <c r="S583" i="3" s="1"/>
  <c r="AD583" i="3"/>
  <c r="AA583" i="3"/>
  <c r="Z583" i="3"/>
  <c r="AC583" i="3"/>
  <c r="L582" i="3"/>
  <c r="T583" i="3" l="1"/>
  <c r="AH583" i="3" s="1"/>
  <c r="U582" i="3"/>
  <c r="Y581" i="3"/>
  <c r="AG583" i="3" l="1"/>
  <c r="E583" i="3"/>
  <c r="H583" i="3" s="1"/>
  <c r="K583" i="3" s="1"/>
  <c r="AE583" i="3" s="1"/>
  <c r="D583" i="3"/>
  <c r="F583" i="3" l="1"/>
  <c r="G583" i="3"/>
  <c r="I583" i="3" s="1"/>
  <c r="V583" i="3"/>
  <c r="A584" i="3"/>
  <c r="B584" i="3" s="1"/>
  <c r="J583" i="3" l="1"/>
  <c r="L583" i="3" s="1"/>
  <c r="M583" i="3"/>
  <c r="N583" i="3" s="1"/>
  <c r="AA584" i="3"/>
  <c r="Z584" i="3"/>
  <c r="AC584" i="3"/>
  <c r="P584" i="3"/>
  <c r="Q584" i="3" s="1"/>
  <c r="R584" i="3" s="1"/>
  <c r="S584" i="3" s="1"/>
  <c r="W583" i="3"/>
  <c r="T584" i="3" l="1"/>
  <c r="AH584" i="3" s="1"/>
  <c r="U583" i="3"/>
  <c r="Y582" i="3"/>
  <c r="AG584" i="3" l="1"/>
  <c r="E584" i="3"/>
  <c r="H584" i="3" s="1"/>
  <c r="K584" i="3" s="1"/>
  <c r="AE584" i="3" s="1"/>
  <c r="D584" i="3"/>
  <c r="F584" i="3" l="1"/>
  <c r="G584" i="3"/>
  <c r="I584" i="3" s="1"/>
  <c r="V584" i="3"/>
  <c r="A585" i="3"/>
  <c r="B585" i="3" s="1"/>
  <c r="J584" i="3" l="1"/>
  <c r="AD584" i="3" s="1"/>
  <c r="W584" i="3"/>
  <c r="M584" i="3"/>
  <c r="N584" i="3" s="1"/>
  <c r="P585" i="3"/>
  <c r="Q585" i="3" s="1"/>
  <c r="R585" i="3" s="1"/>
  <c r="S585" i="3" s="1"/>
  <c r="AA585" i="3"/>
  <c r="AD585" i="3"/>
  <c r="AC585" i="3"/>
  <c r="Z585" i="3"/>
  <c r="L584" i="3" l="1"/>
  <c r="U584" i="3" s="1"/>
  <c r="T585" i="3"/>
  <c r="Y583" i="3" l="1"/>
  <c r="D585" i="3"/>
  <c r="G585" i="3" s="1"/>
  <c r="E585" i="3"/>
  <c r="H585" i="3" s="1"/>
  <c r="AG585" i="3"/>
  <c r="AH585" i="3"/>
  <c r="K585" i="3" l="1"/>
  <c r="AE585" i="3" s="1"/>
  <c r="I585" i="3"/>
  <c r="J585" i="3"/>
  <c r="M585" i="3"/>
  <c r="N585" i="3" s="1"/>
  <c r="F585" i="3"/>
  <c r="L585" i="3" l="1"/>
  <c r="V585" i="3"/>
  <c r="W585" i="3" s="1"/>
  <c r="A586" i="3"/>
  <c r="B586" i="3" s="1"/>
  <c r="P586" i="3" l="1"/>
  <c r="Q586" i="3" s="1"/>
  <c r="R586" i="3" s="1"/>
  <c r="S586" i="3" s="1"/>
  <c r="AA586" i="3"/>
  <c r="AC586" i="3"/>
  <c r="Z586" i="3"/>
  <c r="AD586" i="3"/>
  <c r="U585" i="3"/>
  <c r="Y584" i="3"/>
  <c r="T586" i="3" l="1"/>
  <c r="E586" i="3" l="1"/>
  <c r="H586" i="3" s="1"/>
  <c r="D586" i="3"/>
  <c r="AH586" i="3"/>
  <c r="AG586" i="3"/>
  <c r="F586" i="3" l="1"/>
  <c r="G586" i="3"/>
  <c r="K586" i="3"/>
  <c r="AE586" i="3" s="1"/>
  <c r="V586" i="3" l="1"/>
  <c r="A587" i="3"/>
  <c r="B587" i="3" s="1"/>
  <c r="I586" i="3"/>
  <c r="J586" i="3"/>
  <c r="M586" i="3"/>
  <c r="N586" i="3" s="1"/>
  <c r="L586" i="3" l="1"/>
  <c r="Z587" i="3"/>
  <c r="P587" i="3"/>
  <c r="Q587" i="3" s="1"/>
  <c r="R587" i="3" s="1"/>
  <c r="S587" i="3" s="1"/>
  <c r="AD587" i="3"/>
  <c r="AA587" i="3"/>
  <c r="AC587" i="3"/>
  <c r="W586" i="3"/>
  <c r="T587" i="3" l="1"/>
  <c r="AG587" i="3" s="1"/>
  <c r="U586" i="3"/>
  <c r="Y585" i="3"/>
  <c r="AH587" i="3" l="1"/>
  <c r="E587" i="3"/>
  <c r="H587" i="3" s="1"/>
  <c r="K587" i="3" s="1"/>
  <c r="AE587" i="3" s="1"/>
  <c r="D587" i="3"/>
  <c r="F587" i="3" l="1"/>
  <c r="G587" i="3"/>
  <c r="I587" i="3" s="1"/>
  <c r="V587" i="3"/>
  <c r="A588" i="3"/>
  <c r="B588" i="3" s="1"/>
  <c r="M587" i="3" l="1"/>
  <c r="N587" i="3" s="1"/>
  <c r="W587" i="3"/>
  <c r="J587" i="3"/>
  <c r="L587" i="3" s="1"/>
  <c r="AC588" i="3"/>
  <c r="AA588" i="3"/>
  <c r="P588" i="3"/>
  <c r="Q588" i="3" s="1"/>
  <c r="R588" i="3" s="1"/>
  <c r="S588" i="3" s="1"/>
  <c r="Z588" i="3"/>
  <c r="AD588" i="3"/>
  <c r="T588" i="3" l="1"/>
  <c r="AH588" i="3" s="1"/>
  <c r="U587" i="3"/>
  <c r="Y586" i="3"/>
  <c r="AG588" i="3" l="1"/>
  <c r="E588" i="3"/>
  <c r="H588" i="3" s="1"/>
  <c r="K588" i="3" s="1"/>
  <c r="AE588" i="3" s="1"/>
  <c r="D588" i="3"/>
  <c r="F588" i="3" l="1"/>
  <c r="G588" i="3"/>
  <c r="I588" i="3" s="1"/>
  <c r="V588" i="3"/>
  <c r="A589" i="3"/>
  <c r="B589" i="3" s="1"/>
  <c r="M588" i="3" l="1"/>
  <c r="N588" i="3" s="1"/>
  <c r="J588" i="3"/>
  <c r="L588" i="3" s="1"/>
  <c r="W588" i="3"/>
  <c r="P589" i="3"/>
  <c r="Q589" i="3" s="1"/>
  <c r="R589" i="3" s="1"/>
  <c r="S589" i="3" s="1"/>
  <c r="AC589" i="3"/>
  <c r="AD589" i="3"/>
  <c r="AA589" i="3"/>
  <c r="Z589" i="3"/>
  <c r="T589" i="3" l="1"/>
  <c r="AH589" i="3" s="1"/>
  <c r="U588" i="3"/>
  <c r="Y587" i="3"/>
  <c r="AG589" i="3" l="1"/>
  <c r="D589" i="3"/>
  <c r="G589" i="3" s="1"/>
  <c r="E589" i="3"/>
  <c r="H589" i="3" s="1"/>
  <c r="K589" i="3" s="1"/>
  <c r="AE589" i="3" s="1"/>
  <c r="F589" i="3" l="1"/>
  <c r="V589" i="3"/>
  <c r="A590" i="3"/>
  <c r="B590" i="3" s="1"/>
  <c r="I589" i="3"/>
  <c r="J589" i="3"/>
  <c r="M589" i="3"/>
  <c r="N589" i="3" s="1"/>
  <c r="L589" i="3" l="1"/>
  <c r="Z590" i="3"/>
  <c r="AD590" i="3"/>
  <c r="P590" i="3"/>
  <c r="Q590" i="3" s="1"/>
  <c r="R590" i="3" s="1"/>
  <c r="S590" i="3" s="1"/>
  <c r="AA590" i="3"/>
  <c r="AC590" i="3"/>
  <c r="W589" i="3"/>
  <c r="T590" i="3" l="1"/>
  <c r="AH590" i="3" s="1"/>
  <c r="U589" i="3"/>
  <c r="Y588" i="3"/>
  <c r="AG590" i="3" l="1"/>
  <c r="E590" i="3"/>
  <c r="H590" i="3" s="1"/>
  <c r="K590" i="3" s="1"/>
  <c r="AE590" i="3" s="1"/>
  <c r="D590" i="3"/>
  <c r="F590" i="3" l="1"/>
  <c r="G590" i="3"/>
  <c r="I590" i="3" s="1"/>
  <c r="V590" i="3"/>
  <c r="A591" i="3"/>
  <c r="B591" i="3" s="1"/>
  <c r="M590" i="3" l="1"/>
  <c r="N590" i="3" s="1"/>
  <c r="J590" i="3"/>
  <c r="L590" i="3" s="1"/>
  <c r="Z591" i="3"/>
  <c r="AA591" i="3"/>
  <c r="AD591" i="3"/>
  <c r="AC591" i="3"/>
  <c r="P591" i="3"/>
  <c r="Q591" i="3" s="1"/>
  <c r="R591" i="3" s="1"/>
  <c r="S591" i="3" s="1"/>
  <c r="W590" i="3"/>
  <c r="T591" i="3" l="1"/>
  <c r="AH591" i="3" s="1"/>
  <c r="U590" i="3"/>
  <c r="Y589" i="3"/>
  <c r="E591" i="3" l="1"/>
  <c r="H591" i="3" s="1"/>
  <c r="K591" i="3" s="1"/>
  <c r="AE591" i="3" s="1"/>
  <c r="AG591" i="3"/>
  <c r="D591" i="3"/>
  <c r="F591" i="3" l="1"/>
  <c r="G591" i="3"/>
  <c r="I591" i="3" s="1"/>
  <c r="V591" i="3"/>
  <c r="A592" i="3"/>
  <c r="B592" i="3" s="1"/>
  <c r="W591" i="3" l="1"/>
  <c r="M591" i="3"/>
  <c r="N591" i="3" s="1"/>
  <c r="J591" i="3"/>
  <c r="L591" i="3" s="1"/>
  <c r="AC592" i="3"/>
  <c r="AA592" i="3"/>
  <c r="Z592" i="3"/>
  <c r="AD592" i="3"/>
  <c r="P592" i="3"/>
  <c r="Q592" i="3" s="1"/>
  <c r="R592" i="3" s="1"/>
  <c r="S592" i="3" s="1"/>
  <c r="T592" i="3" l="1"/>
  <c r="AH592" i="3" s="1"/>
  <c r="U591" i="3"/>
  <c r="Y590" i="3"/>
  <c r="D592" i="3" l="1"/>
  <c r="AG592" i="3"/>
  <c r="E592" i="3"/>
  <c r="H592" i="3" s="1"/>
  <c r="K592" i="3" s="1"/>
  <c r="AE592" i="3" s="1"/>
  <c r="F592" i="3" l="1"/>
  <c r="G592" i="3"/>
  <c r="I592" i="3" s="1"/>
  <c r="V592" i="3"/>
  <c r="A593" i="3"/>
  <c r="B593" i="3" s="1"/>
  <c r="M592" i="3" l="1"/>
  <c r="N592" i="3" s="1"/>
  <c r="J592" i="3"/>
  <c r="L592" i="3" s="1"/>
  <c r="Z593" i="3"/>
  <c r="P593" i="3"/>
  <c r="Q593" i="3" s="1"/>
  <c r="R593" i="3" s="1"/>
  <c r="S593" i="3" s="1"/>
  <c r="AA593" i="3"/>
  <c r="AD593" i="3"/>
  <c r="AC593" i="3"/>
  <c r="W592" i="3"/>
  <c r="T593" i="3" l="1"/>
  <c r="AH593" i="3" s="1"/>
  <c r="U592" i="3"/>
  <c r="Y591" i="3"/>
  <c r="AG593" i="3" l="1"/>
  <c r="D593" i="3"/>
  <c r="G593" i="3" s="1"/>
  <c r="E593" i="3"/>
  <c r="H593" i="3" s="1"/>
  <c r="F593" i="3" l="1"/>
  <c r="K593" i="3"/>
  <c r="AE593" i="3" s="1"/>
  <c r="I593" i="3"/>
  <c r="J593" i="3"/>
  <c r="M593" i="3"/>
  <c r="N593" i="3" s="1"/>
  <c r="V593" i="3" l="1"/>
  <c r="W593" i="3" s="1"/>
  <c r="A594" i="3"/>
  <c r="B594" i="3" s="1"/>
  <c r="L593" i="3"/>
  <c r="U593" i="3" l="1"/>
  <c r="Y592" i="3"/>
  <c r="AC594" i="3"/>
  <c r="Z594" i="3"/>
  <c r="AA594" i="3"/>
  <c r="P594" i="3"/>
  <c r="Q594" i="3" s="1"/>
  <c r="R594" i="3" s="1"/>
  <c r="S594" i="3" s="1"/>
  <c r="T594" i="3" l="1"/>
  <c r="AG594" i="3" s="1"/>
  <c r="D594" i="3" l="1"/>
  <c r="G594" i="3" s="1"/>
  <c r="AH594" i="3"/>
  <c r="E594" i="3"/>
  <c r="H594" i="3" s="1"/>
  <c r="K594" i="3" l="1"/>
  <c r="AE594" i="3" s="1"/>
  <c r="I594" i="3"/>
  <c r="J594" i="3"/>
  <c r="AD594" i="3" s="1"/>
  <c r="M594" i="3"/>
  <c r="N594" i="3" s="1"/>
  <c r="F594" i="3"/>
  <c r="V594" i="3" l="1"/>
  <c r="W594" i="3" s="1"/>
  <c r="A595" i="3"/>
  <c r="B595" i="3" s="1"/>
  <c r="L594" i="3"/>
  <c r="U594" i="3" l="1"/>
  <c r="Y593" i="3"/>
  <c r="Z595" i="3"/>
  <c r="AD595" i="3"/>
  <c r="AA595" i="3"/>
  <c r="P595" i="3"/>
  <c r="Q595" i="3" s="1"/>
  <c r="R595" i="3" s="1"/>
  <c r="S595" i="3" s="1"/>
  <c r="AC595" i="3"/>
  <c r="T595" i="3" l="1"/>
  <c r="E595" i="3" s="1"/>
  <c r="H595" i="3" s="1"/>
  <c r="AH595" i="3" l="1"/>
  <c r="D595" i="3"/>
  <c r="F595" i="3" s="1"/>
  <c r="AG595" i="3"/>
  <c r="K595" i="3"/>
  <c r="AE595" i="3" s="1"/>
  <c r="G595" i="3" l="1"/>
  <c r="I595" i="3" s="1"/>
  <c r="V595" i="3"/>
  <c r="A596" i="3"/>
  <c r="B596" i="3" s="1"/>
  <c r="M595" i="3" l="1"/>
  <c r="N595" i="3" s="1"/>
  <c r="J595" i="3"/>
  <c r="L595" i="3" s="1"/>
  <c r="W595" i="3"/>
  <c r="AA596" i="3"/>
  <c r="P596" i="3"/>
  <c r="Q596" i="3" s="1"/>
  <c r="R596" i="3" s="1"/>
  <c r="S596" i="3" s="1"/>
  <c r="Z596" i="3"/>
  <c r="AC596" i="3"/>
  <c r="AD596" i="3"/>
  <c r="T596" i="3" l="1"/>
  <c r="AG596" i="3" s="1"/>
  <c r="U595" i="3"/>
  <c r="Y594" i="3"/>
  <c r="AH596" i="3" l="1"/>
  <c r="E596" i="3"/>
  <c r="H596" i="3" s="1"/>
  <c r="K596" i="3" s="1"/>
  <c r="AE596" i="3" s="1"/>
  <c r="D596" i="3"/>
  <c r="G596" i="3" s="1"/>
  <c r="F596" i="3" l="1"/>
  <c r="I596" i="3"/>
  <c r="J596" i="3"/>
  <c r="M596" i="3"/>
  <c r="N596" i="3" s="1"/>
  <c r="V596" i="3"/>
  <c r="A597" i="3"/>
  <c r="B597" i="3" s="1"/>
  <c r="W596" i="3" l="1"/>
  <c r="AA597" i="3"/>
  <c r="AC597" i="3"/>
  <c r="AD597" i="3"/>
  <c r="P597" i="3"/>
  <c r="Q597" i="3" s="1"/>
  <c r="R597" i="3" s="1"/>
  <c r="S597" i="3" s="1"/>
  <c r="Z597" i="3"/>
  <c r="L596" i="3"/>
  <c r="U596" i="3" l="1"/>
  <c r="Y595" i="3"/>
  <c r="T597" i="3"/>
  <c r="D597" i="3" l="1"/>
  <c r="G597" i="3" s="1"/>
  <c r="AG597" i="3"/>
  <c r="E597" i="3"/>
  <c r="H597" i="3" s="1"/>
  <c r="AH597" i="3"/>
  <c r="K597" i="3" l="1"/>
  <c r="AE597" i="3" s="1"/>
  <c r="I597" i="3"/>
  <c r="J597" i="3"/>
  <c r="M597" i="3"/>
  <c r="N597" i="3" s="1"/>
  <c r="F597" i="3"/>
  <c r="L597" i="3" l="1"/>
  <c r="V597" i="3"/>
  <c r="W597" i="3" s="1"/>
  <c r="A598" i="3"/>
  <c r="B598" i="3" s="1"/>
  <c r="P598" i="3" l="1"/>
  <c r="Q598" i="3" s="1"/>
  <c r="R598" i="3" s="1"/>
  <c r="S598" i="3" s="1"/>
  <c r="AC598" i="3"/>
  <c r="Z598" i="3"/>
  <c r="AD598" i="3"/>
  <c r="AA598" i="3"/>
  <c r="U597" i="3"/>
  <c r="Y596" i="3"/>
  <c r="T598" i="3" l="1"/>
  <c r="AG598" i="3" l="1"/>
  <c r="D598" i="3"/>
  <c r="AH598" i="3"/>
  <c r="E598" i="3"/>
  <c r="H598" i="3" s="1"/>
  <c r="F598" i="3" l="1"/>
  <c r="G598" i="3"/>
  <c r="K598" i="3"/>
  <c r="AE598" i="3" s="1"/>
  <c r="V598" i="3" l="1"/>
  <c r="A599" i="3"/>
  <c r="B599" i="3" s="1"/>
  <c r="I598" i="3"/>
  <c r="J598" i="3"/>
  <c r="M598" i="3"/>
  <c r="N598" i="3" s="1"/>
  <c r="L598" i="3" l="1"/>
  <c r="AD599" i="3"/>
  <c r="Z599" i="3"/>
  <c r="AA599" i="3"/>
  <c r="P599" i="3"/>
  <c r="Q599" i="3" s="1"/>
  <c r="R599" i="3" s="1"/>
  <c r="S599" i="3" s="1"/>
  <c r="AC599" i="3"/>
  <c r="W598" i="3"/>
  <c r="T599" i="3" l="1"/>
  <c r="AH599" i="3" s="1"/>
  <c r="U598" i="3"/>
  <c r="Y597" i="3"/>
  <c r="AG599" i="3" l="1"/>
  <c r="E599" i="3"/>
  <c r="H599" i="3" s="1"/>
  <c r="K599" i="3" s="1"/>
  <c r="AE599" i="3" s="1"/>
  <c r="D599" i="3"/>
  <c r="F599" i="3" l="1"/>
  <c r="G599" i="3"/>
  <c r="I599" i="3" s="1"/>
  <c r="V599" i="3"/>
  <c r="A600" i="3"/>
  <c r="B600" i="3" s="1"/>
  <c r="M599" i="3" l="1"/>
  <c r="N599" i="3" s="1"/>
  <c r="J599" i="3"/>
  <c r="L599" i="3" s="1"/>
  <c r="AD600" i="3"/>
  <c r="AC600" i="3"/>
  <c r="AA600" i="3"/>
  <c r="Z600" i="3"/>
  <c r="P600" i="3"/>
  <c r="Q600" i="3" s="1"/>
  <c r="R600" i="3" s="1"/>
  <c r="S600" i="3" s="1"/>
  <c r="W599" i="3"/>
  <c r="T600" i="3" l="1"/>
  <c r="AG600" i="3" s="1"/>
  <c r="U599" i="3"/>
  <c r="Y598" i="3"/>
  <c r="E600" i="3" l="1"/>
  <c r="H600" i="3" s="1"/>
  <c r="K600" i="3" s="1"/>
  <c r="AE600" i="3" s="1"/>
  <c r="D600" i="3"/>
  <c r="AH600" i="3"/>
  <c r="F600" i="3" l="1"/>
  <c r="G600" i="3"/>
  <c r="I600" i="3" s="1"/>
  <c r="V600" i="3"/>
  <c r="A601" i="3"/>
  <c r="B601" i="3" s="1"/>
  <c r="M600" i="3" l="1"/>
  <c r="N600" i="3" s="1"/>
  <c r="J600" i="3"/>
  <c r="L600" i="3" s="1"/>
  <c r="W600" i="3"/>
  <c r="Z601" i="3"/>
  <c r="AD601" i="3"/>
  <c r="AA601" i="3"/>
  <c r="AC601" i="3"/>
  <c r="P601" i="3"/>
  <c r="Q601" i="3" s="1"/>
  <c r="R601" i="3" s="1"/>
  <c r="S601" i="3" s="1"/>
  <c r="T601" i="3" l="1"/>
  <c r="U600" i="3"/>
  <c r="Y599" i="3"/>
  <c r="E601" i="3" l="1"/>
  <c r="H601" i="3" s="1"/>
  <c r="K601" i="3" s="1"/>
  <c r="AE601" i="3" s="1"/>
  <c r="AH601" i="3"/>
  <c r="AG601" i="3"/>
  <c r="D601" i="3"/>
  <c r="F601" i="3" l="1"/>
  <c r="G601" i="3"/>
  <c r="I601" i="3" s="1"/>
  <c r="V601" i="3"/>
  <c r="A602" i="3"/>
  <c r="B602" i="3" s="1"/>
  <c r="M601" i="3" l="1"/>
  <c r="N601" i="3" s="1"/>
  <c r="J601" i="3"/>
  <c r="L601" i="3" s="1"/>
  <c r="W601" i="3"/>
  <c r="P602" i="3"/>
  <c r="Q602" i="3" s="1"/>
  <c r="R602" i="3" s="1"/>
  <c r="S602" i="3" s="1"/>
  <c r="AD602" i="3"/>
  <c r="AA602" i="3"/>
  <c r="Z602" i="3"/>
  <c r="AC602" i="3"/>
  <c r="U601" i="3" l="1"/>
  <c r="Y600" i="3"/>
  <c r="T602" i="3"/>
  <c r="E602" i="3" l="1"/>
  <c r="H602" i="3" s="1"/>
  <c r="K602" i="3" s="1"/>
  <c r="AE602" i="3" s="1"/>
  <c r="D602" i="3"/>
  <c r="G602" i="3" s="1"/>
  <c r="AH602" i="3"/>
  <c r="AG602" i="3"/>
  <c r="F602" i="3" l="1"/>
  <c r="V602" i="3"/>
  <c r="A603" i="3"/>
  <c r="B603" i="3" s="1"/>
  <c r="I602" i="3"/>
  <c r="J602" i="3"/>
  <c r="M602" i="3"/>
  <c r="N602" i="3" s="1"/>
  <c r="L602" i="3" l="1"/>
  <c r="AC603" i="3"/>
  <c r="AD603" i="3"/>
  <c r="Z603" i="3"/>
  <c r="AA603" i="3"/>
  <c r="P603" i="3"/>
  <c r="Q603" i="3" s="1"/>
  <c r="R603" i="3" s="1"/>
  <c r="S603" i="3" s="1"/>
  <c r="W602" i="3"/>
  <c r="T603" i="3" l="1"/>
  <c r="AG603" i="3" s="1"/>
  <c r="U602" i="3"/>
  <c r="Y601" i="3"/>
  <c r="AH603" i="3" l="1"/>
  <c r="D603" i="3"/>
  <c r="G603" i="3" s="1"/>
  <c r="E603" i="3"/>
  <c r="H603" i="3" s="1"/>
  <c r="K603" i="3" l="1"/>
  <c r="AE603" i="3" s="1"/>
  <c r="I603" i="3"/>
  <c r="J603" i="3"/>
  <c r="M603" i="3"/>
  <c r="N603" i="3" s="1"/>
  <c r="F603" i="3"/>
  <c r="L603" i="3" l="1"/>
  <c r="V603" i="3"/>
  <c r="W603" i="3" s="1"/>
  <c r="A604" i="3"/>
  <c r="B604" i="3" s="1"/>
  <c r="P604" i="3" l="1"/>
  <c r="Q604" i="3" s="1"/>
  <c r="R604" i="3" s="1"/>
  <c r="S604" i="3" s="1"/>
  <c r="AC604" i="3"/>
  <c r="Z604" i="3"/>
  <c r="AA604" i="3"/>
  <c r="U603" i="3"/>
  <c r="Y602" i="3"/>
  <c r="T604" i="3" l="1"/>
  <c r="AG604" i="3" l="1"/>
  <c r="AH604" i="3"/>
  <c r="E604" i="3"/>
  <c r="H604" i="3" s="1"/>
  <c r="D604" i="3"/>
  <c r="F604" i="3" l="1"/>
  <c r="G604" i="3"/>
  <c r="K604" i="3"/>
  <c r="AE604" i="3" s="1"/>
  <c r="V604" i="3" l="1"/>
  <c r="A605" i="3"/>
  <c r="B605" i="3" s="1"/>
  <c r="I604" i="3"/>
  <c r="J604" i="3"/>
  <c r="AD604" i="3" s="1"/>
  <c r="M604" i="3"/>
  <c r="N604" i="3" s="1"/>
  <c r="L604" i="3" l="1"/>
  <c r="AA605" i="3"/>
  <c r="AD605" i="3"/>
  <c r="AC605" i="3"/>
  <c r="Z605" i="3"/>
  <c r="P605" i="3"/>
  <c r="Q605" i="3" s="1"/>
  <c r="R605" i="3" s="1"/>
  <c r="S605" i="3" s="1"/>
  <c r="W604" i="3"/>
  <c r="T605" i="3" l="1"/>
  <c r="AG605" i="3" s="1"/>
  <c r="U604" i="3"/>
  <c r="Y603" i="3"/>
  <c r="E605" i="3" l="1"/>
  <c r="H605" i="3" s="1"/>
  <c r="K605" i="3" s="1"/>
  <c r="AE605" i="3" s="1"/>
  <c r="AH605" i="3"/>
  <c r="D605" i="3"/>
  <c r="F605" i="3" l="1"/>
  <c r="G605" i="3"/>
  <c r="V605" i="3"/>
  <c r="A606" i="3"/>
  <c r="B606" i="3" s="1"/>
  <c r="AD606" i="3" l="1"/>
  <c r="AC606" i="3"/>
  <c r="Z606" i="3"/>
  <c r="AA606" i="3"/>
  <c r="P606" i="3"/>
  <c r="Q606" i="3" s="1"/>
  <c r="R606" i="3" s="1"/>
  <c r="S606" i="3" s="1"/>
  <c r="I605" i="3"/>
  <c r="W605" i="3" s="1"/>
  <c r="J605" i="3"/>
  <c r="M605" i="3"/>
  <c r="N605" i="3" s="1"/>
  <c r="L605" i="3" l="1"/>
  <c r="T606" i="3"/>
  <c r="AH606" i="3" l="1"/>
  <c r="AG606" i="3"/>
  <c r="U605" i="3"/>
  <c r="D606" i="3" s="1"/>
  <c r="Y604" i="3"/>
  <c r="E606" i="3" l="1"/>
  <c r="H606" i="3" s="1"/>
  <c r="K606" i="3" s="1"/>
  <c r="AE606" i="3" s="1"/>
  <c r="G606" i="3"/>
  <c r="F606" i="3" l="1"/>
  <c r="V606" i="3"/>
  <c r="A607" i="3"/>
  <c r="B607" i="3" s="1"/>
  <c r="I606" i="3"/>
  <c r="J606" i="3"/>
  <c r="M606" i="3"/>
  <c r="N606" i="3" s="1"/>
  <c r="L606" i="3" l="1"/>
  <c r="AA607" i="3"/>
  <c r="P607" i="3"/>
  <c r="Q607" i="3" s="1"/>
  <c r="R607" i="3" s="1"/>
  <c r="S607" i="3" s="1"/>
  <c r="AC607" i="3"/>
  <c r="AD607" i="3"/>
  <c r="Z607" i="3"/>
  <c r="W606" i="3"/>
  <c r="T607" i="3" l="1"/>
  <c r="AH607" i="3" s="1"/>
  <c r="U606" i="3"/>
  <c r="Y605" i="3"/>
  <c r="E607" i="3" l="1"/>
  <c r="H607" i="3" s="1"/>
  <c r="K607" i="3" s="1"/>
  <c r="AE607" i="3" s="1"/>
  <c r="D607" i="3"/>
  <c r="AG607" i="3"/>
  <c r="F607" i="3" l="1"/>
  <c r="G607" i="3"/>
  <c r="I607" i="3" s="1"/>
  <c r="V607" i="3"/>
  <c r="A608" i="3"/>
  <c r="B608" i="3" s="1"/>
  <c r="M607" i="3" l="1"/>
  <c r="N607" i="3" s="1"/>
  <c r="J607" i="3"/>
  <c r="L607" i="3" s="1"/>
  <c r="AA608" i="3"/>
  <c r="P608" i="3"/>
  <c r="Q608" i="3" s="1"/>
  <c r="R608" i="3" s="1"/>
  <c r="S608" i="3" s="1"/>
  <c r="Z608" i="3"/>
  <c r="AC608" i="3"/>
  <c r="AD608" i="3"/>
  <c r="W607" i="3"/>
  <c r="U607" i="3" l="1"/>
  <c r="Y606" i="3"/>
  <c r="T608" i="3"/>
  <c r="AH608" i="3" s="1"/>
  <c r="E608" i="3" l="1"/>
  <c r="H608" i="3" s="1"/>
  <c r="D608" i="3"/>
  <c r="AG608" i="3"/>
  <c r="F608" i="3" l="1"/>
  <c r="G608" i="3"/>
  <c r="K608" i="3"/>
  <c r="AE608" i="3" s="1"/>
  <c r="V608" i="3" l="1"/>
  <c r="A609" i="3"/>
  <c r="B609" i="3" s="1"/>
  <c r="I608" i="3"/>
  <c r="J608" i="3"/>
  <c r="M608" i="3"/>
  <c r="N608" i="3" s="1"/>
  <c r="L608" i="3" l="1"/>
  <c r="AC609" i="3"/>
  <c r="P609" i="3"/>
  <c r="Q609" i="3" s="1"/>
  <c r="R609" i="3" s="1"/>
  <c r="S609" i="3" s="1"/>
  <c r="Z609" i="3"/>
  <c r="AD609" i="3"/>
  <c r="AA609" i="3"/>
  <c r="W608" i="3"/>
  <c r="U608" i="3" l="1"/>
  <c r="Y607" i="3"/>
  <c r="T609" i="3"/>
  <c r="D609" i="3" l="1"/>
  <c r="G609" i="3" s="1"/>
  <c r="E609" i="3"/>
  <c r="H609" i="3" s="1"/>
  <c r="AH609" i="3"/>
  <c r="AG609" i="3"/>
  <c r="K609" i="3" l="1"/>
  <c r="AE609" i="3" s="1"/>
  <c r="I609" i="3"/>
  <c r="J609" i="3"/>
  <c r="M609" i="3"/>
  <c r="N609" i="3" s="1"/>
  <c r="F609" i="3"/>
  <c r="V609" i="3" l="1"/>
  <c r="W609" i="3" s="1"/>
  <c r="A610" i="3"/>
  <c r="B610" i="3" s="1"/>
  <c r="L609" i="3"/>
  <c r="U609" i="3" l="1"/>
  <c r="Y608" i="3"/>
  <c r="AC610" i="3"/>
  <c r="AD610" i="3"/>
  <c r="AA610" i="3"/>
  <c r="Z610" i="3"/>
  <c r="P610" i="3"/>
  <c r="Q610" i="3" s="1"/>
  <c r="R610" i="3" s="1"/>
  <c r="S610" i="3" s="1"/>
  <c r="T610" i="3" l="1"/>
  <c r="AH610" i="3" s="1"/>
  <c r="AG610" i="3" l="1"/>
  <c r="D610" i="3"/>
  <c r="E610" i="3"/>
  <c r="H610" i="3" s="1"/>
  <c r="K610" i="3" s="1"/>
  <c r="AE610" i="3" s="1"/>
  <c r="F610" i="3" l="1"/>
  <c r="G610" i="3"/>
  <c r="I610" i="3" s="1"/>
  <c r="V610" i="3"/>
  <c r="A611" i="3"/>
  <c r="B611" i="3" s="1"/>
  <c r="M610" i="3" l="1"/>
  <c r="N610" i="3" s="1"/>
  <c r="J610" i="3"/>
  <c r="L610" i="3" s="1"/>
  <c r="P611" i="3"/>
  <c r="Q611" i="3" s="1"/>
  <c r="R611" i="3" s="1"/>
  <c r="S611" i="3" s="1"/>
  <c r="Z611" i="3"/>
  <c r="AA611" i="3"/>
  <c r="AC611" i="3"/>
  <c r="AD611" i="3"/>
  <c r="W610" i="3"/>
  <c r="T611" i="3" l="1"/>
  <c r="AH611" i="3" s="1"/>
  <c r="U610" i="3"/>
  <c r="Y609" i="3"/>
  <c r="AG611" i="3" l="1"/>
  <c r="D611" i="3"/>
  <c r="G611" i="3" s="1"/>
  <c r="E611" i="3"/>
  <c r="H611" i="3" s="1"/>
  <c r="K611" i="3" s="1"/>
  <c r="AE611" i="3" s="1"/>
  <c r="F611" i="3" l="1"/>
  <c r="V611" i="3"/>
  <c r="A612" i="3"/>
  <c r="B612" i="3" s="1"/>
  <c r="I611" i="3"/>
  <c r="J611" i="3"/>
  <c r="M611" i="3"/>
  <c r="N611" i="3" s="1"/>
  <c r="AD612" i="3" l="1"/>
  <c r="AC612" i="3"/>
  <c r="P612" i="3"/>
  <c r="Q612" i="3" s="1"/>
  <c r="R612" i="3" s="1"/>
  <c r="S612" i="3" s="1"/>
  <c r="AA612" i="3"/>
  <c r="Z612" i="3"/>
  <c r="L611" i="3"/>
  <c r="W611" i="3"/>
  <c r="T612" i="3" l="1"/>
  <c r="AG612" i="3" s="1"/>
  <c r="U611" i="3"/>
  <c r="Y610" i="3"/>
  <c r="D612" i="3" l="1"/>
  <c r="G612" i="3" s="1"/>
  <c r="AH612" i="3"/>
  <c r="E612" i="3"/>
  <c r="H612" i="3" s="1"/>
  <c r="K612" i="3" s="1"/>
  <c r="AE612" i="3" s="1"/>
  <c r="F612" i="3" l="1"/>
  <c r="V612" i="3"/>
  <c r="A613" i="3"/>
  <c r="B613" i="3" s="1"/>
  <c r="I612" i="3"/>
  <c r="J612" i="3"/>
  <c r="M612" i="3"/>
  <c r="N612" i="3" s="1"/>
  <c r="AA613" i="3" l="1"/>
  <c r="Z613" i="3"/>
  <c r="AC613" i="3"/>
  <c r="AD613" i="3"/>
  <c r="P613" i="3"/>
  <c r="Q613" i="3" s="1"/>
  <c r="R613" i="3" s="1"/>
  <c r="S613" i="3" s="1"/>
  <c r="L612" i="3"/>
  <c r="W612" i="3"/>
  <c r="T613" i="3" l="1"/>
  <c r="AH613" i="3" s="1"/>
  <c r="U612" i="3"/>
  <c r="Y611" i="3"/>
  <c r="E613" i="3" l="1"/>
  <c r="H613" i="3" s="1"/>
  <c r="K613" i="3" s="1"/>
  <c r="AE613" i="3" s="1"/>
  <c r="AG613" i="3"/>
  <c r="D613" i="3"/>
  <c r="F613" i="3" l="1"/>
  <c r="G613" i="3"/>
  <c r="I613" i="3" s="1"/>
  <c r="V613" i="3"/>
  <c r="A614" i="3"/>
  <c r="B614" i="3" s="1"/>
  <c r="M613" i="3" l="1"/>
  <c r="N613" i="3" s="1"/>
  <c r="J613" i="3"/>
  <c r="L613" i="3" s="1"/>
  <c r="W613" i="3"/>
  <c r="Z614" i="3"/>
  <c r="P614" i="3"/>
  <c r="Q614" i="3" s="1"/>
  <c r="R614" i="3" s="1"/>
  <c r="S614" i="3" s="1"/>
  <c r="AC614" i="3"/>
  <c r="AA614" i="3"/>
  <c r="T614" i="3" l="1"/>
  <c r="AG614" i="3" s="1"/>
  <c r="U613" i="3"/>
  <c r="Y612" i="3"/>
  <c r="AH614" i="3" l="1"/>
  <c r="D614" i="3"/>
  <c r="G614" i="3" s="1"/>
  <c r="E614" i="3"/>
  <c r="H614" i="3" s="1"/>
  <c r="K614" i="3" l="1"/>
  <c r="AE614" i="3" s="1"/>
  <c r="I614" i="3"/>
  <c r="J614" i="3"/>
  <c r="AD614" i="3" s="1"/>
  <c r="M614" i="3"/>
  <c r="N614" i="3" s="1"/>
  <c r="F614" i="3"/>
  <c r="L614" i="3" l="1"/>
  <c r="V614" i="3"/>
  <c r="W614" i="3" s="1"/>
  <c r="A615" i="3"/>
  <c r="B615" i="3" s="1"/>
  <c r="AD615" i="3" l="1"/>
  <c r="AA615" i="3"/>
  <c r="P615" i="3"/>
  <c r="Q615" i="3" s="1"/>
  <c r="R615" i="3" s="1"/>
  <c r="S615" i="3" s="1"/>
  <c r="AC615" i="3"/>
  <c r="Z615" i="3"/>
  <c r="U614" i="3"/>
  <c r="Y613" i="3"/>
  <c r="T615" i="3" l="1"/>
  <c r="E615" i="3" s="1"/>
  <c r="H615" i="3" s="1"/>
  <c r="AG615" i="3" l="1"/>
  <c r="D615" i="3"/>
  <c r="F615" i="3" s="1"/>
  <c r="AH615" i="3"/>
  <c r="K615" i="3"/>
  <c r="AE615" i="3" s="1"/>
  <c r="G615" i="3" l="1"/>
  <c r="I615" i="3" s="1"/>
  <c r="V615" i="3"/>
  <c r="A616" i="3"/>
  <c r="B616" i="3" s="1"/>
  <c r="M615" i="3" l="1"/>
  <c r="N615" i="3" s="1"/>
  <c r="J615" i="3"/>
  <c r="L615" i="3" s="1"/>
  <c r="W615" i="3"/>
  <c r="AC616" i="3"/>
  <c r="AA616" i="3"/>
  <c r="AD616" i="3"/>
  <c r="Z616" i="3"/>
  <c r="P616" i="3"/>
  <c r="Q616" i="3" s="1"/>
  <c r="R616" i="3" s="1"/>
  <c r="S616" i="3" s="1"/>
  <c r="T616" i="3" l="1"/>
  <c r="AH616" i="3" s="1"/>
  <c r="U615" i="3"/>
  <c r="Y614" i="3"/>
  <c r="AG616" i="3" l="1"/>
  <c r="E616" i="3"/>
  <c r="H616" i="3" s="1"/>
  <c r="K616" i="3" s="1"/>
  <c r="AE616" i="3" s="1"/>
  <c r="D616" i="3"/>
  <c r="F616" i="3" l="1"/>
  <c r="G616" i="3"/>
  <c r="I616" i="3" s="1"/>
  <c r="V616" i="3"/>
  <c r="A617" i="3"/>
  <c r="B617" i="3" s="1"/>
  <c r="M616" i="3" l="1"/>
  <c r="N616" i="3" s="1"/>
  <c r="J616" i="3"/>
  <c r="L616" i="3" s="1"/>
  <c r="W616" i="3"/>
  <c r="AA617" i="3"/>
  <c r="AD617" i="3"/>
  <c r="P617" i="3"/>
  <c r="Q617" i="3" s="1"/>
  <c r="R617" i="3" s="1"/>
  <c r="S617" i="3" s="1"/>
  <c r="Z617" i="3"/>
  <c r="AC617" i="3"/>
  <c r="U616" i="3" l="1"/>
  <c r="Y615" i="3"/>
  <c r="T617" i="3"/>
  <c r="E617" i="3" l="1"/>
  <c r="H617" i="3" s="1"/>
  <c r="K617" i="3" s="1"/>
  <c r="AE617" i="3" s="1"/>
  <c r="AH617" i="3"/>
  <c r="D617" i="3"/>
  <c r="AG617" i="3"/>
  <c r="F617" i="3" l="1"/>
  <c r="G617" i="3"/>
  <c r="I617" i="3" s="1"/>
  <c r="V617" i="3"/>
  <c r="A618" i="3"/>
  <c r="B618" i="3" s="1"/>
  <c r="M617" i="3" l="1"/>
  <c r="N617" i="3" s="1"/>
  <c r="J617" i="3"/>
  <c r="L617" i="3" s="1"/>
  <c r="W617" i="3"/>
  <c r="AD618" i="3"/>
  <c r="P618" i="3"/>
  <c r="Q618" i="3" s="1"/>
  <c r="R618" i="3" s="1"/>
  <c r="S618" i="3" s="1"/>
  <c r="AA618" i="3"/>
  <c r="AC618" i="3"/>
  <c r="Z618" i="3"/>
  <c r="T618" i="3" l="1"/>
  <c r="AH618" i="3" s="1"/>
  <c r="U617" i="3"/>
  <c r="Y616" i="3"/>
  <c r="AG618" i="3" l="1"/>
  <c r="E618" i="3"/>
  <c r="H618" i="3" s="1"/>
  <c r="K618" i="3" s="1"/>
  <c r="AE618" i="3" s="1"/>
  <c r="D618" i="3"/>
  <c r="F618" i="3" l="1"/>
  <c r="G618" i="3"/>
  <c r="I618" i="3" s="1"/>
  <c r="V618" i="3"/>
  <c r="A619" i="3"/>
  <c r="B619" i="3" s="1"/>
  <c r="M618" i="3" l="1"/>
  <c r="N618" i="3" s="1"/>
  <c r="J618" i="3"/>
  <c r="L618" i="3" s="1"/>
  <c r="W618" i="3"/>
  <c r="Z619" i="3"/>
  <c r="P619" i="3"/>
  <c r="Q619" i="3" s="1"/>
  <c r="R619" i="3" s="1"/>
  <c r="S619" i="3" s="1"/>
  <c r="AA619" i="3"/>
  <c r="AD619" i="3"/>
  <c r="AC619" i="3"/>
  <c r="T619" i="3" l="1"/>
  <c r="AG619" i="3" s="1"/>
  <c r="U618" i="3"/>
  <c r="Y617" i="3"/>
  <c r="D619" i="3" l="1"/>
  <c r="G619" i="3" s="1"/>
  <c r="E619" i="3"/>
  <c r="H619" i="3" s="1"/>
  <c r="K619" i="3" s="1"/>
  <c r="AE619" i="3" s="1"/>
  <c r="AH619" i="3"/>
  <c r="F619" i="3" l="1"/>
  <c r="V619" i="3"/>
  <c r="A620" i="3"/>
  <c r="B620" i="3" s="1"/>
  <c r="I619" i="3"/>
  <c r="J619" i="3"/>
  <c r="M619" i="3"/>
  <c r="N619" i="3" s="1"/>
  <c r="AA620" i="3" l="1"/>
  <c r="Z620" i="3"/>
  <c r="AC620" i="3"/>
  <c r="P620" i="3"/>
  <c r="Q620" i="3" s="1"/>
  <c r="R620" i="3" s="1"/>
  <c r="S620" i="3" s="1"/>
  <c r="AD620" i="3"/>
  <c r="L619" i="3"/>
  <c r="W619" i="3"/>
  <c r="T620" i="3" l="1"/>
  <c r="AG620" i="3" s="1"/>
  <c r="U619" i="3"/>
  <c r="Y618" i="3"/>
  <c r="E620" i="3" l="1"/>
  <c r="H620" i="3" s="1"/>
  <c r="K620" i="3" s="1"/>
  <c r="AE620" i="3" s="1"/>
  <c r="AH620" i="3"/>
  <c r="D620" i="3"/>
  <c r="F620" i="3" l="1"/>
  <c r="G620" i="3"/>
  <c r="I620" i="3" s="1"/>
  <c r="V620" i="3"/>
  <c r="A621" i="3"/>
  <c r="B621" i="3" s="1"/>
  <c r="M620" i="3" l="1"/>
  <c r="N620" i="3" s="1"/>
  <c r="J620" i="3"/>
  <c r="L620" i="3" s="1"/>
  <c r="W620" i="3"/>
  <c r="AC621" i="3"/>
  <c r="AA621" i="3"/>
  <c r="P621" i="3"/>
  <c r="Q621" i="3" s="1"/>
  <c r="R621" i="3" s="1"/>
  <c r="S621" i="3" s="1"/>
  <c r="Z621" i="3"/>
  <c r="AD621" i="3"/>
  <c r="T621" i="3" l="1"/>
  <c r="U620" i="3"/>
  <c r="Y619" i="3"/>
  <c r="E621" i="3" l="1"/>
  <c r="H621" i="3" s="1"/>
  <c r="K621" i="3" s="1"/>
  <c r="AE621" i="3" s="1"/>
  <c r="D621" i="3"/>
  <c r="G621" i="3" s="1"/>
  <c r="AH621" i="3"/>
  <c r="AG621" i="3"/>
  <c r="F621" i="3" l="1"/>
  <c r="I621" i="3"/>
  <c r="J621" i="3"/>
  <c r="M621" i="3"/>
  <c r="N621" i="3" s="1"/>
  <c r="V621" i="3"/>
  <c r="A622" i="3"/>
  <c r="B622" i="3" s="1"/>
  <c r="W621" i="3" l="1"/>
  <c r="P622" i="3"/>
  <c r="Q622" i="3" s="1"/>
  <c r="R622" i="3" s="1"/>
  <c r="S622" i="3" s="1"/>
  <c r="AC622" i="3"/>
  <c r="Z622" i="3"/>
  <c r="AD622" i="3"/>
  <c r="AA622" i="3"/>
  <c r="L621" i="3"/>
  <c r="U621" i="3" l="1"/>
  <c r="Y620" i="3"/>
  <c r="T622" i="3"/>
  <c r="E622" i="3" l="1"/>
  <c r="H622" i="3" s="1"/>
  <c r="K622" i="3" s="1"/>
  <c r="AE622" i="3" s="1"/>
  <c r="AH622" i="3"/>
  <c r="AG622" i="3"/>
  <c r="D622" i="3"/>
  <c r="F622" i="3" l="1"/>
  <c r="G622" i="3"/>
  <c r="M622" i="3" s="1"/>
  <c r="N622" i="3" s="1"/>
  <c r="V622" i="3"/>
  <c r="A623" i="3"/>
  <c r="B623" i="3" s="1"/>
  <c r="J622" i="3" l="1"/>
  <c r="L622" i="3" s="1"/>
  <c r="I622" i="3"/>
  <c r="W622" i="3" s="1"/>
  <c r="Z623" i="3"/>
  <c r="AD623" i="3"/>
  <c r="P623" i="3"/>
  <c r="Q623" i="3" s="1"/>
  <c r="R623" i="3" s="1"/>
  <c r="S623" i="3" s="1"/>
  <c r="AC623" i="3"/>
  <c r="AA623" i="3"/>
  <c r="T623" i="3" l="1"/>
  <c r="AH623" i="3" s="1"/>
  <c r="U622" i="3"/>
  <c r="Y621" i="3"/>
  <c r="D623" i="3" l="1"/>
  <c r="G623" i="3" s="1"/>
  <c r="AG623" i="3"/>
  <c r="E623" i="3"/>
  <c r="H623" i="3" s="1"/>
  <c r="K623" i="3" l="1"/>
  <c r="AE623" i="3" s="1"/>
  <c r="I623" i="3"/>
  <c r="J623" i="3"/>
  <c r="M623" i="3"/>
  <c r="N623" i="3" s="1"/>
  <c r="F623" i="3"/>
  <c r="L623" i="3" l="1"/>
  <c r="V623" i="3"/>
  <c r="W623" i="3" s="1"/>
  <c r="A624" i="3"/>
  <c r="B624" i="3" s="1"/>
  <c r="Z624" i="3" l="1"/>
  <c r="P624" i="3"/>
  <c r="Q624" i="3" s="1"/>
  <c r="R624" i="3" s="1"/>
  <c r="S624" i="3" s="1"/>
  <c r="AC624" i="3"/>
  <c r="AA624" i="3"/>
  <c r="U623" i="3"/>
  <c r="Y622" i="3"/>
  <c r="T624" i="3" l="1"/>
  <c r="E624" i="3" s="1"/>
  <c r="H624" i="3" s="1"/>
  <c r="AH624" i="3" l="1"/>
  <c r="AG624" i="3"/>
  <c r="D624" i="3"/>
  <c r="F624" i="3" s="1"/>
  <c r="K624" i="3"/>
  <c r="AE624" i="3" s="1"/>
  <c r="G624" i="3" l="1"/>
  <c r="I624" i="3" s="1"/>
  <c r="V624" i="3"/>
  <c r="A625" i="3"/>
  <c r="B625" i="3" s="1"/>
  <c r="M624" i="3" l="1"/>
  <c r="N624" i="3" s="1"/>
  <c r="J624" i="3"/>
  <c r="AD624" i="3" s="1"/>
  <c r="AC625" i="3"/>
  <c r="Z625" i="3"/>
  <c r="P625" i="3"/>
  <c r="Q625" i="3" s="1"/>
  <c r="R625" i="3" s="1"/>
  <c r="S625" i="3" s="1"/>
  <c r="AA625" i="3"/>
  <c r="AD625" i="3"/>
  <c r="W624" i="3"/>
  <c r="L624" i="3" l="1"/>
  <c r="Y623" i="3" s="1"/>
  <c r="T625" i="3"/>
  <c r="U624" i="3" l="1"/>
  <c r="D625" i="3" s="1"/>
  <c r="AH625" i="3"/>
  <c r="AG625" i="3"/>
  <c r="E625" i="3" l="1"/>
  <c r="H625" i="3" s="1"/>
  <c r="K625" i="3" s="1"/>
  <c r="AE625" i="3" s="1"/>
  <c r="G625" i="3"/>
  <c r="A626" i="3" l="1"/>
  <c r="B626" i="3" s="1"/>
  <c r="AC626" i="3" s="1"/>
  <c r="V625" i="3"/>
  <c r="I625" i="3"/>
  <c r="F625" i="3"/>
  <c r="M625" i="3"/>
  <c r="N625" i="3" s="1"/>
  <c r="J625" i="3"/>
  <c r="L625" i="3" s="1"/>
  <c r="Z626" i="3" l="1"/>
  <c r="AD626" i="3"/>
  <c r="W625" i="3"/>
  <c r="AA626" i="3"/>
  <c r="P626" i="3"/>
  <c r="Q626" i="3" s="1"/>
  <c r="R626" i="3" s="1"/>
  <c r="S626" i="3" s="1"/>
  <c r="T626" i="3" s="1"/>
  <c r="U625" i="3"/>
  <c r="Y624" i="3"/>
  <c r="AH626" i="3" l="1"/>
  <c r="AG626" i="3"/>
  <c r="D626" i="3"/>
  <c r="G626" i="3" s="1"/>
  <c r="E626" i="3"/>
  <c r="H626" i="3" s="1"/>
  <c r="I626" i="3" l="1"/>
  <c r="J626" i="3"/>
  <c r="M626" i="3"/>
  <c r="N626" i="3" s="1"/>
  <c r="K626" i="3"/>
  <c r="AE626" i="3" s="1"/>
  <c r="F626" i="3"/>
  <c r="V626" i="3" l="1"/>
  <c r="W626" i="3" s="1"/>
  <c r="A627" i="3"/>
  <c r="B627" i="3" s="1"/>
  <c r="L626" i="3"/>
  <c r="AD627" i="3" l="1"/>
  <c r="P627" i="3"/>
  <c r="Q627" i="3" s="1"/>
  <c r="R627" i="3" s="1"/>
  <c r="S627" i="3" s="1"/>
  <c r="AC627" i="3"/>
  <c r="AA627" i="3"/>
  <c r="Z627" i="3"/>
  <c r="U626" i="3"/>
  <c r="Y625" i="3"/>
  <c r="T627" i="3" l="1"/>
  <c r="D627" i="3" s="1"/>
  <c r="AG627" i="3" l="1"/>
  <c r="AH627" i="3"/>
  <c r="E627" i="3"/>
  <c r="H627" i="3" s="1"/>
  <c r="K627" i="3" s="1"/>
  <c r="AE627" i="3" s="1"/>
  <c r="G627" i="3"/>
  <c r="F627" i="3" l="1"/>
  <c r="I627" i="3"/>
  <c r="J627" i="3"/>
  <c r="M627" i="3"/>
  <c r="N627" i="3" s="1"/>
  <c r="V627" i="3"/>
  <c r="A628" i="3"/>
  <c r="B628" i="3" s="1"/>
  <c r="W627" i="3" l="1"/>
  <c r="AC628" i="3"/>
  <c r="AD628" i="3"/>
  <c r="Z628" i="3"/>
  <c r="AA628" i="3"/>
  <c r="P628" i="3"/>
  <c r="Q628" i="3" s="1"/>
  <c r="R628" i="3" s="1"/>
  <c r="S628" i="3" s="1"/>
  <c r="L627" i="3"/>
  <c r="T628" i="3" l="1"/>
  <c r="AH628" i="3" s="1"/>
  <c r="U627" i="3"/>
  <c r="Y626" i="3"/>
  <c r="AG628" i="3" l="1"/>
  <c r="D628" i="3"/>
  <c r="G628" i="3" s="1"/>
  <c r="E628" i="3"/>
  <c r="H628" i="3" s="1"/>
  <c r="K628" i="3" l="1"/>
  <c r="AE628" i="3" s="1"/>
  <c r="I628" i="3"/>
  <c r="J628" i="3"/>
  <c r="M628" i="3"/>
  <c r="N628" i="3" s="1"/>
  <c r="F628" i="3"/>
  <c r="L628" i="3" l="1"/>
  <c r="V628" i="3"/>
  <c r="W628" i="3" s="1"/>
  <c r="A629" i="3"/>
  <c r="B629" i="3" s="1"/>
  <c r="Z629" i="3" l="1"/>
  <c r="AC629" i="3"/>
  <c r="AA629" i="3"/>
  <c r="P629" i="3"/>
  <c r="Q629" i="3" s="1"/>
  <c r="R629" i="3" s="1"/>
  <c r="S629" i="3" s="1"/>
  <c r="AD629" i="3"/>
  <c r="U628" i="3"/>
  <c r="Y627" i="3"/>
  <c r="T629" i="3" l="1"/>
  <c r="D629" i="3" s="1"/>
  <c r="AG629" i="3" l="1"/>
  <c r="AH629" i="3"/>
  <c r="E629" i="3"/>
  <c r="H629" i="3" s="1"/>
  <c r="K629" i="3" s="1"/>
  <c r="AE629" i="3" s="1"/>
  <c r="G629" i="3"/>
  <c r="F629" i="3" l="1"/>
  <c r="V629" i="3"/>
  <c r="A630" i="3"/>
  <c r="B630" i="3" s="1"/>
  <c r="I629" i="3"/>
  <c r="J629" i="3"/>
  <c r="M629" i="3"/>
  <c r="N629" i="3" s="1"/>
  <c r="L629" i="3" l="1"/>
  <c r="AA630" i="3"/>
  <c r="Z630" i="3"/>
  <c r="AD630" i="3"/>
  <c r="P630" i="3"/>
  <c r="Q630" i="3" s="1"/>
  <c r="R630" i="3" s="1"/>
  <c r="S630" i="3" s="1"/>
  <c r="AC630" i="3"/>
  <c r="W629" i="3"/>
  <c r="T630" i="3" l="1"/>
  <c r="AH630" i="3" s="1"/>
  <c r="U629" i="3"/>
  <c r="Y628" i="3"/>
  <c r="D630" i="3" l="1"/>
  <c r="G630" i="3" s="1"/>
  <c r="E630" i="3"/>
  <c r="H630" i="3" s="1"/>
  <c r="K630" i="3" s="1"/>
  <c r="AE630" i="3" s="1"/>
  <c r="AG630" i="3"/>
  <c r="F630" i="3" l="1"/>
  <c r="V630" i="3"/>
  <c r="A631" i="3"/>
  <c r="B631" i="3" s="1"/>
  <c r="I630" i="3"/>
  <c r="J630" i="3"/>
  <c r="M630" i="3"/>
  <c r="N630" i="3" s="1"/>
  <c r="L630" i="3" l="1"/>
  <c r="AC631" i="3"/>
  <c r="AA631" i="3"/>
  <c r="Z631" i="3"/>
  <c r="AD631" i="3"/>
  <c r="P631" i="3"/>
  <c r="Q631" i="3" s="1"/>
  <c r="R631" i="3" s="1"/>
  <c r="S631" i="3" s="1"/>
  <c r="W630" i="3"/>
  <c r="T631" i="3" l="1"/>
  <c r="AG631" i="3" s="1"/>
  <c r="U630" i="3"/>
  <c r="Y629" i="3"/>
  <c r="E631" i="3" l="1"/>
  <c r="H631" i="3" s="1"/>
  <c r="K631" i="3" s="1"/>
  <c r="AE631" i="3" s="1"/>
  <c r="AH631" i="3"/>
  <c r="D631" i="3"/>
  <c r="G631" i="3" s="1"/>
  <c r="F631" i="3" l="1"/>
  <c r="I631" i="3"/>
  <c r="J631" i="3"/>
  <c r="M631" i="3"/>
  <c r="N631" i="3" s="1"/>
  <c r="V631" i="3"/>
  <c r="A632" i="3"/>
  <c r="B632" i="3" s="1"/>
  <c r="W631" i="3" l="1"/>
  <c r="AC632" i="3"/>
  <c r="AA632" i="3"/>
  <c r="Z632" i="3"/>
  <c r="P632" i="3"/>
  <c r="Q632" i="3" s="1"/>
  <c r="R632" i="3" s="1"/>
  <c r="S632" i="3" s="1"/>
  <c r="AD632" i="3"/>
  <c r="L631" i="3"/>
  <c r="U631" i="3" l="1"/>
  <c r="Y630" i="3"/>
  <c r="T632" i="3"/>
  <c r="D632" i="3" l="1"/>
  <c r="G632" i="3" s="1"/>
  <c r="E632" i="3"/>
  <c r="H632" i="3" s="1"/>
  <c r="K632" i="3" s="1"/>
  <c r="AE632" i="3" s="1"/>
  <c r="AG632" i="3"/>
  <c r="AH632" i="3"/>
  <c r="F632" i="3" l="1"/>
  <c r="I632" i="3"/>
  <c r="J632" i="3"/>
  <c r="M632" i="3"/>
  <c r="N632" i="3" s="1"/>
  <c r="V632" i="3"/>
  <c r="A633" i="3"/>
  <c r="B633" i="3" s="1"/>
  <c r="W632" i="3" l="1"/>
  <c r="AA633" i="3"/>
  <c r="AD633" i="3"/>
  <c r="P633" i="3"/>
  <c r="Q633" i="3" s="1"/>
  <c r="R633" i="3" s="1"/>
  <c r="S633" i="3" s="1"/>
  <c r="AC633" i="3"/>
  <c r="Z633" i="3"/>
  <c r="L632" i="3"/>
  <c r="T633" i="3" l="1"/>
  <c r="AG633" i="3" s="1"/>
  <c r="U632" i="3"/>
  <c r="Y631" i="3"/>
  <c r="E633" i="3" l="1"/>
  <c r="H633" i="3" s="1"/>
  <c r="K633" i="3" s="1"/>
  <c r="AE633" i="3" s="1"/>
  <c r="AH633" i="3"/>
  <c r="D633" i="3"/>
  <c r="F633" i="3" l="1"/>
  <c r="G633" i="3"/>
  <c r="I633" i="3" s="1"/>
  <c r="V633" i="3"/>
  <c r="A634" i="3"/>
  <c r="B634" i="3" s="1"/>
  <c r="J633" i="3" l="1"/>
  <c r="L633" i="3" s="1"/>
  <c r="M633" i="3"/>
  <c r="N633" i="3" s="1"/>
  <c r="W633" i="3"/>
  <c r="AA634" i="3"/>
  <c r="AC634" i="3"/>
  <c r="Z634" i="3"/>
  <c r="P634" i="3"/>
  <c r="Q634" i="3" s="1"/>
  <c r="R634" i="3" s="1"/>
  <c r="S634" i="3" s="1"/>
  <c r="T634" i="3" l="1"/>
  <c r="AG634" i="3" s="1"/>
  <c r="U633" i="3"/>
  <c r="Y632" i="3"/>
  <c r="D634" i="3" l="1"/>
  <c r="G634" i="3" s="1"/>
  <c r="E634" i="3"/>
  <c r="H634" i="3" s="1"/>
  <c r="K634" i="3" s="1"/>
  <c r="AE634" i="3" s="1"/>
  <c r="AH634" i="3"/>
  <c r="F634" i="3" l="1"/>
  <c r="I634" i="3"/>
  <c r="J634" i="3"/>
  <c r="AD634" i="3" s="1"/>
  <c r="M634" i="3"/>
  <c r="N634" i="3" s="1"/>
  <c r="V634" i="3"/>
  <c r="A635" i="3"/>
  <c r="B635" i="3" s="1"/>
  <c r="W634" i="3" l="1"/>
  <c r="AD635" i="3"/>
  <c r="P635" i="3"/>
  <c r="Q635" i="3" s="1"/>
  <c r="R635" i="3" s="1"/>
  <c r="S635" i="3" s="1"/>
  <c r="AA635" i="3"/>
  <c r="Z635" i="3"/>
  <c r="AC635" i="3"/>
  <c r="L634" i="3"/>
  <c r="T635" i="3" l="1"/>
  <c r="AH635" i="3" s="1"/>
  <c r="U634" i="3"/>
  <c r="Y633" i="3"/>
  <c r="E635" i="3" l="1"/>
  <c r="H635" i="3" s="1"/>
  <c r="K635" i="3" s="1"/>
  <c r="AE635" i="3" s="1"/>
  <c r="D635" i="3"/>
  <c r="AG635" i="3"/>
  <c r="F635" i="3" l="1"/>
  <c r="G635" i="3"/>
  <c r="J635" i="3" s="1"/>
  <c r="V635" i="3"/>
  <c r="A636" i="3"/>
  <c r="B636" i="3" s="1"/>
  <c r="M635" i="3" l="1"/>
  <c r="N635" i="3" s="1"/>
  <c r="I635" i="3"/>
  <c r="W635" i="3" s="1"/>
  <c r="Z636" i="3"/>
  <c r="P636" i="3"/>
  <c r="Q636" i="3" s="1"/>
  <c r="R636" i="3" s="1"/>
  <c r="S636" i="3" s="1"/>
  <c r="AC636" i="3"/>
  <c r="AD636" i="3"/>
  <c r="AA636" i="3"/>
  <c r="L635" i="3"/>
  <c r="T636" i="3" l="1"/>
  <c r="AH636" i="3" s="1"/>
  <c r="U635" i="3"/>
  <c r="Y634" i="3"/>
  <c r="AG636" i="3" l="1"/>
  <c r="D636" i="3"/>
  <c r="G636" i="3" s="1"/>
  <c r="E636" i="3"/>
  <c r="H636" i="3" s="1"/>
  <c r="K636" i="3" s="1"/>
  <c r="AE636" i="3" s="1"/>
  <c r="F636" i="3" l="1"/>
  <c r="V636" i="3"/>
  <c r="A637" i="3"/>
  <c r="B637" i="3" s="1"/>
  <c r="I636" i="3"/>
  <c r="J636" i="3"/>
  <c r="M636" i="3"/>
  <c r="N636" i="3" s="1"/>
  <c r="L636" i="3" l="1"/>
  <c r="AC637" i="3"/>
  <c r="AD637" i="3"/>
  <c r="AA637" i="3"/>
  <c r="Z637" i="3"/>
  <c r="P637" i="3"/>
  <c r="Q637" i="3" s="1"/>
  <c r="R637" i="3" s="1"/>
  <c r="S637" i="3" s="1"/>
  <c r="W636" i="3"/>
  <c r="T637" i="3" l="1"/>
  <c r="AG637" i="3" s="1"/>
  <c r="U636" i="3"/>
  <c r="Y635" i="3"/>
  <c r="AH637" i="3" l="1"/>
  <c r="E637" i="3"/>
  <c r="H637" i="3" s="1"/>
  <c r="K637" i="3" s="1"/>
  <c r="AE637" i="3" s="1"/>
  <c r="D637" i="3"/>
  <c r="G637" i="3" s="1"/>
  <c r="F637" i="3" l="1"/>
  <c r="V637" i="3"/>
  <c r="A638" i="3"/>
  <c r="B638" i="3" s="1"/>
  <c r="I637" i="3"/>
  <c r="J637" i="3"/>
  <c r="M637" i="3"/>
  <c r="N637" i="3" s="1"/>
  <c r="L637" i="3" l="1"/>
  <c r="Z638" i="3"/>
  <c r="P638" i="3"/>
  <c r="Q638" i="3" s="1"/>
  <c r="R638" i="3" s="1"/>
  <c r="S638" i="3" s="1"/>
  <c r="AC638" i="3"/>
  <c r="AA638" i="3"/>
  <c r="AD638" i="3"/>
  <c r="W637" i="3"/>
  <c r="T638" i="3" l="1"/>
  <c r="AG638" i="3" s="1"/>
  <c r="U637" i="3"/>
  <c r="Y636" i="3"/>
  <c r="E638" i="3" l="1"/>
  <c r="H638" i="3" s="1"/>
  <c r="K638" i="3" s="1"/>
  <c r="AE638" i="3" s="1"/>
  <c r="AH638" i="3"/>
  <c r="D638" i="3"/>
  <c r="F638" i="3" l="1"/>
  <c r="G638" i="3"/>
  <c r="I638" i="3" s="1"/>
  <c r="V638" i="3"/>
  <c r="A639" i="3"/>
  <c r="B639" i="3" s="1"/>
  <c r="M638" i="3" l="1"/>
  <c r="N638" i="3" s="1"/>
  <c r="J638" i="3"/>
  <c r="L638" i="3" s="1"/>
  <c r="AA639" i="3"/>
  <c r="AC639" i="3"/>
  <c r="P639" i="3"/>
  <c r="Q639" i="3" s="1"/>
  <c r="R639" i="3" s="1"/>
  <c r="S639" i="3" s="1"/>
  <c r="Z639" i="3"/>
  <c r="AD639" i="3"/>
  <c r="W638" i="3"/>
  <c r="T639" i="3" l="1"/>
  <c r="AH639" i="3" s="1"/>
  <c r="U638" i="3"/>
  <c r="Y637" i="3"/>
  <c r="E639" i="3" l="1"/>
  <c r="H639" i="3" s="1"/>
  <c r="K639" i="3" s="1"/>
  <c r="AE639" i="3" s="1"/>
  <c r="AG639" i="3"/>
  <c r="D639" i="3"/>
  <c r="V639" i="3" l="1"/>
  <c r="A640" i="3"/>
  <c r="B640" i="3" s="1"/>
  <c r="F639" i="3"/>
  <c r="G639" i="3"/>
  <c r="AC640" i="3" l="1"/>
  <c r="P640" i="3"/>
  <c r="Q640" i="3" s="1"/>
  <c r="R640" i="3" s="1"/>
  <c r="S640" i="3" s="1"/>
  <c r="AA640" i="3"/>
  <c r="AD640" i="3"/>
  <c r="Z640" i="3"/>
  <c r="I639" i="3"/>
  <c r="W639" i="3" s="1"/>
  <c r="J639" i="3"/>
  <c r="M639" i="3"/>
  <c r="N639" i="3" s="1"/>
  <c r="L639" i="3" l="1"/>
  <c r="T640" i="3"/>
  <c r="U639" i="3" l="1"/>
  <c r="D640" i="3" s="1"/>
  <c r="AH640" i="3"/>
  <c r="AG640" i="3"/>
  <c r="Y638" i="3"/>
  <c r="E640" i="3" l="1"/>
  <c r="H640" i="3" s="1"/>
  <c r="K640" i="3" s="1"/>
  <c r="AE640" i="3" s="1"/>
  <c r="G640" i="3"/>
  <c r="F640" i="3" l="1"/>
  <c r="I640" i="3"/>
  <c r="J640" i="3"/>
  <c r="M640" i="3"/>
  <c r="N640" i="3" s="1"/>
  <c r="V640" i="3"/>
  <c r="A641" i="3"/>
  <c r="B641" i="3" s="1"/>
  <c r="W640" i="3" l="1"/>
  <c r="P641" i="3"/>
  <c r="Q641" i="3" s="1"/>
  <c r="R641" i="3" s="1"/>
  <c r="S641" i="3" s="1"/>
  <c r="AA641" i="3"/>
  <c r="AD641" i="3"/>
  <c r="Z641" i="3"/>
  <c r="AC641" i="3"/>
  <c r="L640" i="3"/>
  <c r="U640" i="3" l="1"/>
  <c r="Y639" i="3"/>
  <c r="T641" i="3"/>
  <c r="E641" i="3" l="1"/>
  <c r="H641" i="3" s="1"/>
  <c r="K641" i="3" s="1"/>
  <c r="AE641" i="3" s="1"/>
  <c r="AG641" i="3"/>
  <c r="D641" i="3"/>
  <c r="AH641" i="3"/>
  <c r="F641" i="3" l="1"/>
  <c r="G641" i="3"/>
  <c r="V641" i="3"/>
  <c r="A642" i="3"/>
  <c r="B642" i="3" s="1"/>
  <c r="Z642" i="3" l="1"/>
  <c r="AD642" i="3"/>
  <c r="P642" i="3"/>
  <c r="Q642" i="3" s="1"/>
  <c r="R642" i="3" s="1"/>
  <c r="S642" i="3" s="1"/>
  <c r="AC642" i="3"/>
  <c r="AA642" i="3"/>
  <c r="I641" i="3"/>
  <c r="W641" i="3" s="1"/>
  <c r="J641" i="3"/>
  <c r="M641" i="3"/>
  <c r="N641" i="3" s="1"/>
  <c r="T642" i="3" l="1"/>
  <c r="L641" i="3"/>
  <c r="AG642" i="3" l="1"/>
  <c r="U641" i="3"/>
  <c r="E642" i="3" s="1"/>
  <c r="H642" i="3" s="1"/>
  <c r="AH642" i="3"/>
  <c r="Y640" i="3"/>
  <c r="D642" i="3" l="1"/>
  <c r="F642" i="3" s="1"/>
  <c r="K642" i="3"/>
  <c r="AE642" i="3" s="1"/>
  <c r="G642" i="3" l="1"/>
  <c r="I642" i="3" s="1"/>
  <c r="V642" i="3"/>
  <c r="A643" i="3"/>
  <c r="B643" i="3" s="1"/>
  <c r="M642" i="3" l="1"/>
  <c r="N642" i="3" s="1"/>
  <c r="J642" i="3"/>
  <c r="L642" i="3" s="1"/>
  <c r="W642" i="3"/>
  <c r="AA643" i="3"/>
  <c r="AD643" i="3"/>
  <c r="AC643" i="3"/>
  <c r="P643" i="3"/>
  <c r="Q643" i="3" s="1"/>
  <c r="R643" i="3" s="1"/>
  <c r="S643" i="3" s="1"/>
  <c r="Z643" i="3"/>
  <c r="T643" i="3" l="1"/>
  <c r="AG643" i="3" s="1"/>
  <c r="U642" i="3"/>
  <c r="Y641" i="3"/>
  <c r="AH643" i="3" l="1"/>
  <c r="E643" i="3"/>
  <c r="H643" i="3" s="1"/>
  <c r="K643" i="3" s="1"/>
  <c r="AE643" i="3" s="1"/>
  <c r="D643" i="3"/>
  <c r="F643" i="3" l="1"/>
  <c r="G643" i="3"/>
  <c r="I643" i="3" s="1"/>
  <c r="V643" i="3"/>
  <c r="A644" i="3"/>
  <c r="B644" i="3" s="1"/>
  <c r="M643" i="3" l="1"/>
  <c r="N643" i="3" s="1"/>
  <c r="J643" i="3"/>
  <c r="L643" i="3" s="1"/>
  <c r="AA644" i="3"/>
  <c r="P644" i="3"/>
  <c r="Q644" i="3" s="1"/>
  <c r="R644" i="3" s="1"/>
  <c r="S644" i="3" s="1"/>
  <c r="Z644" i="3"/>
  <c r="AC644" i="3"/>
  <c r="W643" i="3"/>
  <c r="U643" i="3" l="1"/>
  <c r="Y642" i="3"/>
  <c r="T644" i="3"/>
  <c r="E644" i="3" l="1"/>
  <c r="H644" i="3" s="1"/>
  <c r="K644" i="3" s="1"/>
  <c r="AE644" i="3" s="1"/>
  <c r="AH644" i="3"/>
  <c r="AG644" i="3"/>
  <c r="D644" i="3"/>
  <c r="F644" i="3" l="1"/>
  <c r="G644" i="3"/>
  <c r="V644" i="3"/>
  <c r="A645" i="3"/>
  <c r="B645" i="3" s="1"/>
  <c r="AA645" i="3" l="1"/>
  <c r="AC645" i="3"/>
  <c r="Z645" i="3"/>
  <c r="P645" i="3"/>
  <c r="Q645" i="3" s="1"/>
  <c r="R645" i="3" s="1"/>
  <c r="S645" i="3" s="1"/>
  <c r="AD645" i="3"/>
  <c r="I644" i="3"/>
  <c r="W644" i="3" s="1"/>
  <c r="J644" i="3"/>
  <c r="AD644" i="3" s="1"/>
  <c r="M644" i="3"/>
  <c r="N644" i="3" s="1"/>
  <c r="T645" i="3" l="1"/>
  <c r="L644" i="3"/>
  <c r="AH645" i="3" l="1"/>
  <c r="AG645" i="3"/>
  <c r="U644" i="3"/>
  <c r="D645" i="3" s="1"/>
  <c r="Y643" i="3"/>
  <c r="G645" i="3" l="1"/>
  <c r="E645" i="3"/>
  <c r="H645" i="3" s="1"/>
  <c r="K645" i="3" l="1"/>
  <c r="AE645" i="3" s="1"/>
  <c r="I645" i="3"/>
  <c r="J645" i="3"/>
  <c r="M645" i="3"/>
  <c r="N645" i="3" s="1"/>
  <c r="F645" i="3"/>
  <c r="L645" i="3" l="1"/>
  <c r="V645" i="3"/>
  <c r="W645" i="3" s="1"/>
  <c r="A646" i="3"/>
  <c r="B646" i="3" s="1"/>
  <c r="Z646" i="3" l="1"/>
  <c r="P646" i="3"/>
  <c r="Q646" i="3" s="1"/>
  <c r="R646" i="3" s="1"/>
  <c r="S646" i="3" s="1"/>
  <c r="AD646" i="3"/>
  <c r="AC646" i="3"/>
  <c r="AA646" i="3"/>
  <c r="U645" i="3"/>
  <c r="Y644" i="3"/>
  <c r="T646" i="3" l="1"/>
  <c r="AG646" i="3" l="1"/>
  <c r="AH646" i="3"/>
  <c r="E646" i="3"/>
  <c r="H646" i="3" s="1"/>
  <c r="D646" i="3"/>
  <c r="K646" i="3" l="1"/>
  <c r="AE646" i="3" s="1"/>
  <c r="F646" i="3"/>
  <c r="G646" i="3"/>
  <c r="I646" i="3" l="1"/>
  <c r="J646" i="3"/>
  <c r="M646" i="3"/>
  <c r="N646" i="3" s="1"/>
  <c r="V646" i="3"/>
  <c r="A647" i="3"/>
  <c r="B647" i="3" s="1"/>
  <c r="W646" i="3" l="1"/>
  <c r="AC647" i="3"/>
  <c r="AD647" i="3"/>
  <c r="P647" i="3"/>
  <c r="Q647" i="3" s="1"/>
  <c r="R647" i="3" s="1"/>
  <c r="S647" i="3" s="1"/>
  <c r="Z647" i="3"/>
  <c r="AA647" i="3"/>
  <c r="L646" i="3"/>
  <c r="T647" i="3" l="1"/>
  <c r="AH647" i="3" s="1"/>
  <c r="U646" i="3"/>
  <c r="Y645" i="3"/>
  <c r="AG647" i="3" l="1"/>
  <c r="E647" i="3"/>
  <c r="H647" i="3" s="1"/>
  <c r="K647" i="3" s="1"/>
  <c r="AE647" i="3" s="1"/>
  <c r="D647" i="3"/>
  <c r="G647" i="3" s="1"/>
  <c r="F647" i="3" l="1"/>
  <c r="I647" i="3"/>
  <c r="J647" i="3"/>
  <c r="M647" i="3"/>
  <c r="N647" i="3" s="1"/>
  <c r="V647" i="3"/>
  <c r="A648" i="3"/>
  <c r="B648" i="3" s="1"/>
  <c r="W647" i="3" l="1"/>
  <c r="AD648" i="3"/>
  <c r="AA648" i="3"/>
  <c r="P648" i="3"/>
  <c r="Q648" i="3" s="1"/>
  <c r="R648" i="3" s="1"/>
  <c r="S648" i="3" s="1"/>
  <c r="Z648" i="3"/>
  <c r="AC648" i="3"/>
  <c r="L647" i="3"/>
  <c r="T648" i="3" l="1"/>
  <c r="AH648" i="3" s="1"/>
  <c r="U647" i="3"/>
  <c r="Y646" i="3"/>
  <c r="D648" i="3" l="1"/>
  <c r="G648" i="3" s="1"/>
  <c r="AG648" i="3"/>
  <c r="E648" i="3"/>
  <c r="H648" i="3" s="1"/>
  <c r="K648" i="3" s="1"/>
  <c r="AE648" i="3" s="1"/>
  <c r="F648" i="3" l="1"/>
  <c r="I648" i="3"/>
  <c r="J648" i="3"/>
  <c r="M648" i="3"/>
  <c r="N648" i="3" s="1"/>
  <c r="V648" i="3"/>
  <c r="A649" i="3"/>
  <c r="B649" i="3" s="1"/>
  <c r="W648" i="3" l="1"/>
  <c r="AC649" i="3"/>
  <c r="Z649" i="3"/>
  <c r="P649" i="3"/>
  <c r="Q649" i="3" s="1"/>
  <c r="R649" i="3" s="1"/>
  <c r="S649" i="3" s="1"/>
  <c r="AA649" i="3"/>
  <c r="AD649" i="3"/>
  <c r="L648" i="3"/>
  <c r="T649" i="3" l="1"/>
  <c r="AH649" i="3" s="1"/>
  <c r="U648" i="3"/>
  <c r="Y647" i="3"/>
  <c r="E649" i="3" l="1"/>
  <c r="H649" i="3" s="1"/>
  <c r="K649" i="3" s="1"/>
  <c r="AE649" i="3" s="1"/>
  <c r="AG649" i="3"/>
  <c r="D649" i="3"/>
  <c r="V649" i="3" l="1"/>
  <c r="A650" i="3"/>
  <c r="B650" i="3" s="1"/>
  <c r="F649" i="3"/>
  <c r="G649" i="3"/>
  <c r="AA650" i="3" l="1"/>
  <c r="Z650" i="3"/>
  <c r="P650" i="3"/>
  <c r="Q650" i="3" s="1"/>
  <c r="R650" i="3" s="1"/>
  <c r="S650" i="3" s="1"/>
  <c r="AD650" i="3"/>
  <c r="AC650" i="3"/>
  <c r="I649" i="3"/>
  <c r="W649" i="3" s="1"/>
  <c r="J649" i="3"/>
  <c r="M649" i="3"/>
  <c r="N649" i="3" s="1"/>
  <c r="T650" i="3" l="1"/>
  <c r="L649" i="3"/>
  <c r="AG650" i="3" l="1"/>
  <c r="U649" i="3"/>
  <c r="D650" i="3" s="1"/>
  <c r="AH650" i="3"/>
  <c r="Y648" i="3"/>
  <c r="G650" i="3" l="1"/>
  <c r="E650" i="3"/>
  <c r="H650" i="3" s="1"/>
  <c r="K650" i="3" l="1"/>
  <c r="AE650" i="3" s="1"/>
  <c r="I650" i="3"/>
  <c r="J650" i="3"/>
  <c r="M650" i="3"/>
  <c r="N650" i="3" s="1"/>
  <c r="F650" i="3"/>
  <c r="L650" i="3" l="1"/>
  <c r="V650" i="3"/>
  <c r="W650" i="3" s="1"/>
  <c r="A651" i="3"/>
  <c r="B651" i="3" s="1"/>
  <c r="Z651" i="3" l="1"/>
  <c r="AC651" i="3"/>
  <c r="P651" i="3"/>
  <c r="Q651" i="3" s="1"/>
  <c r="R651" i="3" s="1"/>
  <c r="S651" i="3" s="1"/>
  <c r="AA651" i="3"/>
  <c r="AD651" i="3"/>
  <c r="U650" i="3"/>
  <c r="Y649" i="3"/>
  <c r="T651" i="3" l="1"/>
  <c r="AH651" i="3" s="1"/>
  <c r="E651" i="3" l="1"/>
  <c r="H651" i="3" s="1"/>
  <c r="K651" i="3" s="1"/>
  <c r="AE651" i="3" s="1"/>
  <c r="D651" i="3"/>
  <c r="AG651" i="3"/>
  <c r="F651" i="3" l="1"/>
  <c r="G651" i="3"/>
  <c r="V651" i="3"/>
  <c r="A652" i="3"/>
  <c r="B652" i="3" s="1"/>
  <c r="AC652" i="3" l="1"/>
  <c r="AA652" i="3"/>
  <c r="Z652" i="3"/>
  <c r="AD652" i="3"/>
  <c r="P652" i="3"/>
  <c r="Q652" i="3" s="1"/>
  <c r="R652" i="3" s="1"/>
  <c r="S652" i="3" s="1"/>
  <c r="I651" i="3"/>
  <c r="W651" i="3" s="1"/>
  <c r="J651" i="3"/>
  <c r="M651" i="3"/>
  <c r="N651" i="3" s="1"/>
  <c r="L651" i="3" l="1"/>
  <c r="T652" i="3"/>
  <c r="AH652" i="3" l="1"/>
  <c r="U651" i="3"/>
  <c r="E652" i="3" s="1"/>
  <c r="H652" i="3" s="1"/>
  <c r="AG652" i="3"/>
  <c r="Y650" i="3"/>
  <c r="D652" i="3" l="1"/>
  <c r="F652" i="3" s="1"/>
  <c r="K652" i="3"/>
  <c r="AE652" i="3" s="1"/>
  <c r="G652" i="3" l="1"/>
  <c r="I652" i="3" s="1"/>
  <c r="V652" i="3"/>
  <c r="A653" i="3"/>
  <c r="B653" i="3" s="1"/>
  <c r="M652" i="3" l="1"/>
  <c r="N652" i="3" s="1"/>
  <c r="J652" i="3"/>
  <c r="L652" i="3" s="1"/>
  <c r="W652" i="3"/>
  <c r="AC653" i="3"/>
  <c r="Z653" i="3"/>
  <c r="AA653" i="3"/>
  <c r="P653" i="3"/>
  <c r="Q653" i="3" s="1"/>
  <c r="R653" i="3" s="1"/>
  <c r="S653" i="3" s="1"/>
  <c r="AD653" i="3"/>
  <c r="T653" i="3" l="1"/>
  <c r="AG653" i="3" s="1"/>
  <c r="U652" i="3"/>
  <c r="Y651" i="3"/>
  <c r="D653" i="3" l="1"/>
  <c r="G653" i="3" s="1"/>
  <c r="AH653" i="3"/>
  <c r="E653" i="3"/>
  <c r="H653" i="3" s="1"/>
  <c r="K653" i="3" s="1"/>
  <c r="AE653" i="3" s="1"/>
  <c r="F653" i="3" l="1"/>
  <c r="V653" i="3"/>
  <c r="A654" i="3"/>
  <c r="B654" i="3" s="1"/>
  <c r="I653" i="3"/>
  <c r="J653" i="3"/>
  <c r="M653" i="3"/>
  <c r="N653" i="3" s="1"/>
  <c r="L653" i="3" l="1"/>
  <c r="P654" i="3"/>
  <c r="Q654" i="3" s="1"/>
  <c r="R654" i="3" s="1"/>
  <c r="S654" i="3" s="1"/>
  <c r="AA654" i="3"/>
  <c r="Z654" i="3"/>
  <c r="AC654" i="3"/>
  <c r="W653" i="3"/>
  <c r="T654" i="3" l="1"/>
  <c r="AG654" i="3" s="1"/>
  <c r="U653" i="3"/>
  <c r="Y652" i="3"/>
  <c r="E654" i="3" l="1"/>
  <c r="H654" i="3" s="1"/>
  <c r="K654" i="3" s="1"/>
  <c r="AE654" i="3" s="1"/>
  <c r="D654" i="3"/>
  <c r="AH654" i="3"/>
  <c r="F654" i="3" l="1"/>
  <c r="G654" i="3"/>
  <c r="I654" i="3" s="1"/>
  <c r="V654" i="3"/>
  <c r="A655" i="3"/>
  <c r="B655" i="3" s="1"/>
  <c r="M654" i="3" l="1"/>
  <c r="N654" i="3" s="1"/>
  <c r="J654" i="3"/>
  <c r="AD654" i="3" s="1"/>
  <c r="W654" i="3"/>
  <c r="AA655" i="3"/>
  <c r="P655" i="3"/>
  <c r="Q655" i="3" s="1"/>
  <c r="R655" i="3" s="1"/>
  <c r="S655" i="3" s="1"/>
  <c r="AC655" i="3"/>
  <c r="AD655" i="3"/>
  <c r="Z655" i="3"/>
  <c r="L654" i="3" l="1"/>
  <c r="U654" i="3" s="1"/>
  <c r="T655" i="3"/>
  <c r="Y653" i="3" l="1"/>
  <c r="AH655" i="3"/>
  <c r="D655" i="3"/>
  <c r="G655" i="3" s="1"/>
  <c r="AG655" i="3"/>
  <c r="E655" i="3"/>
  <c r="H655" i="3" s="1"/>
  <c r="K655" i="3" l="1"/>
  <c r="AE655" i="3" s="1"/>
  <c r="I655" i="3"/>
  <c r="J655" i="3"/>
  <c r="M655" i="3"/>
  <c r="N655" i="3" s="1"/>
  <c r="F655" i="3"/>
  <c r="L655" i="3" l="1"/>
  <c r="V655" i="3"/>
  <c r="W655" i="3" s="1"/>
  <c r="A656" i="3"/>
  <c r="B656" i="3" s="1"/>
  <c r="P656" i="3" l="1"/>
  <c r="Q656" i="3" s="1"/>
  <c r="R656" i="3" s="1"/>
  <c r="S656" i="3" s="1"/>
  <c r="AA656" i="3"/>
  <c r="Z656" i="3"/>
  <c r="AD656" i="3"/>
  <c r="AC656" i="3"/>
  <c r="U655" i="3"/>
  <c r="Y654" i="3"/>
  <c r="T656" i="3" l="1"/>
  <c r="AH656" i="3" l="1"/>
  <c r="AG656" i="3"/>
  <c r="E656" i="3"/>
  <c r="H656" i="3" s="1"/>
  <c r="D656" i="3"/>
  <c r="K656" i="3" l="1"/>
  <c r="AE656" i="3" s="1"/>
  <c r="F656" i="3"/>
  <c r="G656" i="3"/>
  <c r="I656" i="3" l="1"/>
  <c r="J656" i="3"/>
  <c r="M656" i="3"/>
  <c r="N656" i="3" s="1"/>
  <c r="V656" i="3"/>
  <c r="A657" i="3"/>
  <c r="B657" i="3" s="1"/>
  <c r="W656" i="3" l="1"/>
  <c r="L656" i="3"/>
  <c r="P657" i="3"/>
  <c r="Q657" i="3" s="1"/>
  <c r="R657" i="3" s="1"/>
  <c r="S657" i="3" s="1"/>
  <c r="AC657" i="3"/>
  <c r="AA657" i="3"/>
  <c r="Z657" i="3"/>
  <c r="AD657" i="3"/>
  <c r="T657" i="3" l="1"/>
  <c r="AG657" i="3" s="1"/>
  <c r="U656" i="3"/>
  <c r="Y655" i="3"/>
  <c r="D657" i="3" l="1"/>
  <c r="G657" i="3" s="1"/>
  <c r="AH657" i="3"/>
  <c r="E657" i="3"/>
  <c r="H657" i="3" s="1"/>
  <c r="K657" i="3" s="1"/>
  <c r="AE657" i="3" s="1"/>
  <c r="F657" i="3" l="1"/>
  <c r="V657" i="3"/>
  <c r="A658" i="3"/>
  <c r="B658" i="3" s="1"/>
  <c r="I657" i="3"/>
  <c r="J657" i="3"/>
  <c r="M657" i="3"/>
  <c r="N657" i="3" s="1"/>
  <c r="L657" i="3" l="1"/>
  <c r="AD658" i="3"/>
  <c r="AA658" i="3"/>
  <c r="P658" i="3"/>
  <c r="Q658" i="3" s="1"/>
  <c r="R658" i="3" s="1"/>
  <c r="S658" i="3" s="1"/>
  <c r="AC658" i="3"/>
  <c r="Z658" i="3"/>
  <c r="W657" i="3"/>
  <c r="T658" i="3" l="1"/>
  <c r="AG658" i="3" s="1"/>
  <c r="U657" i="3"/>
  <c r="Y656" i="3"/>
  <c r="D658" i="3" l="1"/>
  <c r="G658" i="3" s="1"/>
  <c r="AH658" i="3"/>
  <c r="E658" i="3"/>
  <c r="H658" i="3" s="1"/>
  <c r="K658" i="3" l="1"/>
  <c r="AE658" i="3" s="1"/>
  <c r="I658" i="3"/>
  <c r="J658" i="3"/>
  <c r="M658" i="3"/>
  <c r="N658" i="3" s="1"/>
  <c r="F658" i="3"/>
  <c r="V658" i="3" l="1"/>
  <c r="W658" i="3" s="1"/>
  <c r="A659" i="3"/>
  <c r="B659" i="3" s="1"/>
  <c r="L658" i="3"/>
  <c r="P659" i="3" l="1"/>
  <c r="Q659" i="3" s="1"/>
  <c r="R659" i="3" s="1"/>
  <c r="S659" i="3" s="1"/>
  <c r="AC659" i="3"/>
  <c r="AA659" i="3"/>
  <c r="Z659" i="3"/>
  <c r="AD659" i="3"/>
  <c r="U658" i="3"/>
  <c r="Y657" i="3"/>
  <c r="T659" i="3" l="1"/>
  <c r="D659" i="3" l="1"/>
  <c r="E659" i="3"/>
  <c r="H659" i="3" s="1"/>
  <c r="AH659" i="3"/>
  <c r="AG659" i="3"/>
  <c r="K659" i="3" l="1"/>
  <c r="AE659" i="3" s="1"/>
  <c r="F659" i="3"/>
  <c r="G659" i="3"/>
  <c r="I659" i="3" l="1"/>
  <c r="J659" i="3"/>
  <c r="M659" i="3"/>
  <c r="N659" i="3" s="1"/>
  <c r="V659" i="3"/>
  <c r="A660" i="3"/>
  <c r="B660" i="3" s="1"/>
  <c r="W659" i="3" l="1"/>
  <c r="AA660" i="3"/>
  <c r="Z660" i="3"/>
  <c r="AD660" i="3"/>
  <c r="AC660" i="3"/>
  <c r="P660" i="3"/>
  <c r="Q660" i="3" s="1"/>
  <c r="R660" i="3" s="1"/>
  <c r="S660" i="3" s="1"/>
  <c r="L659" i="3"/>
  <c r="T660" i="3" l="1"/>
  <c r="AG660" i="3" s="1"/>
  <c r="U659" i="3"/>
  <c r="Y658" i="3"/>
  <c r="E660" i="3" l="1"/>
  <c r="H660" i="3" s="1"/>
  <c r="K660" i="3" s="1"/>
  <c r="AE660" i="3" s="1"/>
  <c r="D660" i="3"/>
  <c r="G660" i="3" s="1"/>
  <c r="AH660" i="3"/>
  <c r="F660" i="3" l="1"/>
  <c r="V660" i="3"/>
  <c r="A661" i="3"/>
  <c r="B661" i="3" s="1"/>
  <c r="I660" i="3"/>
  <c r="J660" i="3"/>
  <c r="M660" i="3"/>
  <c r="N660" i="3" s="1"/>
  <c r="L660" i="3" l="1"/>
  <c r="AC661" i="3"/>
  <c r="Z661" i="3"/>
  <c r="P661" i="3"/>
  <c r="Q661" i="3" s="1"/>
  <c r="R661" i="3" s="1"/>
  <c r="S661" i="3" s="1"/>
  <c r="AA661" i="3"/>
  <c r="AD661" i="3"/>
  <c r="W660" i="3"/>
  <c r="T661" i="3" l="1"/>
  <c r="AH661" i="3" s="1"/>
  <c r="U660" i="3"/>
  <c r="Y659" i="3"/>
  <c r="D661" i="3" l="1"/>
  <c r="G661" i="3" s="1"/>
  <c r="E661" i="3"/>
  <c r="H661" i="3" s="1"/>
  <c r="K661" i="3" s="1"/>
  <c r="AE661" i="3" s="1"/>
  <c r="AG661" i="3"/>
  <c r="F661" i="3" l="1"/>
  <c r="V661" i="3"/>
  <c r="A662" i="3"/>
  <c r="B662" i="3" s="1"/>
  <c r="I661" i="3"/>
  <c r="J661" i="3"/>
  <c r="M661" i="3"/>
  <c r="N661" i="3" s="1"/>
  <c r="Z662" i="3" l="1"/>
  <c r="P662" i="3"/>
  <c r="Q662" i="3" s="1"/>
  <c r="R662" i="3" s="1"/>
  <c r="S662" i="3" s="1"/>
  <c r="AA662" i="3"/>
  <c r="AD662" i="3"/>
  <c r="AC662" i="3"/>
  <c r="L661" i="3"/>
  <c r="W661" i="3"/>
  <c r="T662" i="3" l="1"/>
  <c r="AG662" i="3" s="1"/>
  <c r="U661" i="3"/>
  <c r="Y660" i="3"/>
  <c r="AH662" i="3" l="1"/>
  <c r="E662" i="3"/>
  <c r="H662" i="3" s="1"/>
  <c r="K662" i="3" s="1"/>
  <c r="AE662" i="3" s="1"/>
  <c r="D662" i="3"/>
  <c r="F662" i="3" l="1"/>
  <c r="G662" i="3"/>
  <c r="I662" i="3" s="1"/>
  <c r="V662" i="3"/>
  <c r="A663" i="3"/>
  <c r="B663" i="3" s="1"/>
  <c r="M662" i="3" l="1"/>
  <c r="N662" i="3" s="1"/>
  <c r="J662" i="3"/>
  <c r="L662" i="3" s="1"/>
  <c r="W662" i="3"/>
  <c r="AC663" i="3"/>
  <c r="P663" i="3"/>
  <c r="Q663" i="3" s="1"/>
  <c r="R663" i="3" s="1"/>
  <c r="S663" i="3" s="1"/>
  <c r="AD663" i="3"/>
  <c r="AA663" i="3"/>
  <c r="Z663" i="3"/>
  <c r="T663" i="3" l="1"/>
  <c r="AH663" i="3" s="1"/>
  <c r="U662" i="3"/>
  <c r="Y661" i="3"/>
  <c r="AG663" i="3" l="1"/>
  <c r="E663" i="3"/>
  <c r="H663" i="3" s="1"/>
  <c r="K663" i="3" s="1"/>
  <c r="AE663" i="3" s="1"/>
  <c r="D663" i="3"/>
  <c r="F663" i="3" l="1"/>
  <c r="G663" i="3"/>
  <c r="M663" i="3" s="1"/>
  <c r="N663" i="3" s="1"/>
  <c r="V663" i="3"/>
  <c r="A664" i="3"/>
  <c r="B664" i="3" s="1"/>
  <c r="J663" i="3" l="1"/>
  <c r="L663" i="3" s="1"/>
  <c r="I663" i="3"/>
  <c r="W663" i="3" s="1"/>
  <c r="AC664" i="3"/>
  <c r="Z664" i="3"/>
  <c r="AA664" i="3"/>
  <c r="P664" i="3"/>
  <c r="Q664" i="3" s="1"/>
  <c r="R664" i="3" s="1"/>
  <c r="S664" i="3" s="1"/>
  <c r="T664" i="3" l="1"/>
  <c r="AG664" i="3" s="1"/>
  <c r="U663" i="3"/>
  <c r="Y662" i="3"/>
  <c r="D664" i="3" l="1"/>
  <c r="G664" i="3" s="1"/>
  <c r="E664" i="3"/>
  <c r="H664" i="3" s="1"/>
  <c r="K664" i="3" s="1"/>
  <c r="AE664" i="3" s="1"/>
  <c r="AH664" i="3"/>
  <c r="F664" i="3" l="1"/>
  <c r="V664" i="3"/>
  <c r="A665" i="3"/>
  <c r="B665" i="3" s="1"/>
  <c r="I664" i="3"/>
  <c r="J664" i="3"/>
  <c r="AD664" i="3" s="1"/>
  <c r="M664" i="3"/>
  <c r="N664" i="3" s="1"/>
  <c r="W664" i="3" l="1"/>
  <c r="L664" i="3"/>
  <c r="AA665" i="3"/>
  <c r="P665" i="3"/>
  <c r="Q665" i="3" s="1"/>
  <c r="R665" i="3" s="1"/>
  <c r="S665" i="3" s="1"/>
  <c r="AC665" i="3"/>
  <c r="Z665" i="3"/>
  <c r="AD665" i="3"/>
  <c r="T665" i="3" l="1"/>
  <c r="AG665" i="3" s="1"/>
  <c r="U664" i="3"/>
  <c r="Y663" i="3"/>
  <c r="D665" i="3" l="1"/>
  <c r="G665" i="3" s="1"/>
  <c r="E665" i="3"/>
  <c r="H665" i="3" s="1"/>
  <c r="K665" i="3" s="1"/>
  <c r="AE665" i="3" s="1"/>
  <c r="AH665" i="3"/>
  <c r="F665" i="3" l="1"/>
  <c r="V665" i="3"/>
  <c r="A666" i="3"/>
  <c r="B666" i="3" s="1"/>
  <c r="I665" i="3"/>
  <c r="J665" i="3"/>
  <c r="M665" i="3"/>
  <c r="N665" i="3" s="1"/>
  <c r="W665" i="3" l="1"/>
  <c r="L665" i="3"/>
  <c r="AD666" i="3"/>
  <c r="AA666" i="3"/>
  <c r="P666" i="3"/>
  <c r="Q666" i="3" s="1"/>
  <c r="R666" i="3" s="1"/>
  <c r="S666" i="3" s="1"/>
  <c r="Z666" i="3"/>
  <c r="AC666" i="3"/>
  <c r="T666" i="3" l="1"/>
  <c r="AG666" i="3" s="1"/>
  <c r="U665" i="3"/>
  <c r="Y664" i="3"/>
  <c r="D666" i="3" l="1"/>
  <c r="G666" i="3" s="1"/>
  <c r="AH666" i="3"/>
  <c r="E666" i="3"/>
  <c r="H666" i="3" s="1"/>
  <c r="K666" i="3" s="1"/>
  <c r="AE666" i="3" s="1"/>
  <c r="F666" i="3" l="1"/>
  <c r="V666" i="3"/>
  <c r="A667" i="3"/>
  <c r="B667" i="3" s="1"/>
  <c r="I666" i="3"/>
  <c r="J666" i="3"/>
  <c r="M666" i="3"/>
  <c r="N666" i="3" s="1"/>
  <c r="Z667" i="3" l="1"/>
  <c r="P667" i="3"/>
  <c r="Q667" i="3" s="1"/>
  <c r="R667" i="3" s="1"/>
  <c r="S667" i="3" s="1"/>
  <c r="AA667" i="3"/>
  <c r="AD667" i="3"/>
  <c r="AC667" i="3"/>
  <c r="L666" i="3"/>
  <c r="W666" i="3"/>
  <c r="T667" i="3" l="1"/>
  <c r="AH667" i="3" s="1"/>
  <c r="U666" i="3"/>
  <c r="Y665" i="3"/>
  <c r="AG667" i="3" l="1"/>
  <c r="D667" i="3"/>
  <c r="G667" i="3" s="1"/>
  <c r="E667" i="3"/>
  <c r="H667" i="3" s="1"/>
  <c r="K667" i="3" s="1"/>
  <c r="AE667" i="3" s="1"/>
  <c r="F667" i="3" l="1"/>
  <c r="V667" i="3"/>
  <c r="A668" i="3"/>
  <c r="B668" i="3" s="1"/>
  <c r="I667" i="3"/>
  <c r="J667" i="3"/>
  <c r="M667" i="3"/>
  <c r="N667" i="3" s="1"/>
  <c r="AD668" i="3" l="1"/>
  <c r="AC668" i="3"/>
  <c r="AA668" i="3"/>
  <c r="Z668" i="3"/>
  <c r="P668" i="3"/>
  <c r="Q668" i="3" s="1"/>
  <c r="R668" i="3" s="1"/>
  <c r="S668" i="3" s="1"/>
  <c r="L667" i="3"/>
  <c r="W667" i="3"/>
  <c r="T668" i="3" l="1"/>
  <c r="AG668" i="3" s="1"/>
  <c r="U667" i="3"/>
  <c r="Y666" i="3"/>
  <c r="AH668" i="3" l="1"/>
  <c r="D668" i="3"/>
  <c r="G668" i="3" s="1"/>
  <c r="E668" i="3"/>
  <c r="H668" i="3" s="1"/>
  <c r="K668" i="3" s="1"/>
  <c r="AE668" i="3" s="1"/>
  <c r="F668" i="3" l="1"/>
  <c r="I668" i="3"/>
  <c r="J668" i="3"/>
  <c r="M668" i="3"/>
  <c r="N668" i="3" s="1"/>
  <c r="V668" i="3"/>
  <c r="W668" i="3" s="1"/>
  <c r="A669" i="3"/>
  <c r="B669" i="3" s="1"/>
  <c r="AC669" i="3" l="1"/>
  <c r="Z669" i="3"/>
  <c r="AA669" i="3"/>
  <c r="P669" i="3"/>
  <c r="Q669" i="3" s="1"/>
  <c r="R669" i="3" s="1"/>
  <c r="S669" i="3" s="1"/>
  <c r="AD669" i="3"/>
  <c r="L668" i="3"/>
  <c r="T669" i="3" l="1"/>
  <c r="AG669" i="3" s="1"/>
  <c r="U668" i="3"/>
  <c r="Y667" i="3"/>
  <c r="E669" i="3" l="1"/>
  <c r="H669" i="3" s="1"/>
  <c r="K669" i="3" s="1"/>
  <c r="AE669" i="3" s="1"/>
  <c r="D669" i="3"/>
  <c r="AH669" i="3"/>
  <c r="F669" i="3" l="1"/>
  <c r="G669" i="3"/>
  <c r="J669" i="3" s="1"/>
  <c r="V669" i="3"/>
  <c r="A670" i="3"/>
  <c r="B670" i="3" s="1"/>
  <c r="I669" i="3" l="1"/>
  <c r="M669" i="3"/>
  <c r="N669" i="3" s="1"/>
  <c r="L669" i="3"/>
  <c r="AD670" i="3"/>
  <c r="P670" i="3"/>
  <c r="Q670" i="3" s="1"/>
  <c r="R670" i="3" s="1"/>
  <c r="S670" i="3" s="1"/>
  <c r="Z670" i="3"/>
  <c r="AC670" i="3"/>
  <c r="AA670" i="3"/>
  <c r="W669" i="3"/>
  <c r="T670" i="3" l="1"/>
  <c r="AH670" i="3" s="1"/>
  <c r="U669" i="3"/>
  <c r="Y668" i="3"/>
  <c r="AG670" i="3" l="1"/>
  <c r="D670" i="3"/>
  <c r="G670" i="3" s="1"/>
  <c r="E670" i="3"/>
  <c r="H670" i="3" s="1"/>
  <c r="K670" i="3" s="1"/>
  <c r="AE670" i="3" s="1"/>
  <c r="F670" i="3" l="1"/>
  <c r="V670" i="3"/>
  <c r="A671" i="3"/>
  <c r="B671" i="3" s="1"/>
  <c r="I670" i="3"/>
  <c r="J670" i="3"/>
  <c r="M670" i="3"/>
  <c r="N670" i="3" s="1"/>
  <c r="W670" i="3" l="1"/>
  <c r="L670" i="3"/>
  <c r="AD671" i="3"/>
  <c r="AA671" i="3"/>
  <c r="P671" i="3"/>
  <c r="Q671" i="3" s="1"/>
  <c r="R671" i="3" s="1"/>
  <c r="S671" i="3" s="1"/>
  <c r="AC671" i="3"/>
  <c r="Z671" i="3"/>
  <c r="T671" i="3" l="1"/>
  <c r="AG671" i="3" s="1"/>
  <c r="U670" i="3"/>
  <c r="Y669" i="3"/>
  <c r="E671" i="3" l="1"/>
  <c r="H671" i="3" s="1"/>
  <c r="K671" i="3" s="1"/>
  <c r="AE671" i="3" s="1"/>
  <c r="AH671" i="3"/>
  <c r="D671" i="3"/>
  <c r="G671" i="3" s="1"/>
  <c r="F671" i="3" l="1"/>
  <c r="V671" i="3"/>
  <c r="A672" i="3"/>
  <c r="B672" i="3" s="1"/>
  <c r="I671" i="3"/>
  <c r="J671" i="3"/>
  <c r="M671" i="3"/>
  <c r="N671" i="3" s="1"/>
  <c r="W671" i="3" l="1"/>
  <c r="AD672" i="3"/>
  <c r="P672" i="3"/>
  <c r="Q672" i="3" s="1"/>
  <c r="R672" i="3" s="1"/>
  <c r="S672" i="3" s="1"/>
  <c r="Z672" i="3"/>
  <c r="AC672" i="3"/>
  <c r="AA672" i="3"/>
  <c r="L671" i="3"/>
  <c r="U671" i="3" l="1"/>
  <c r="Y670" i="3"/>
  <c r="T672" i="3"/>
  <c r="AH672" i="3" s="1"/>
  <c r="D672" i="3" l="1"/>
  <c r="E672" i="3"/>
  <c r="H672" i="3" s="1"/>
  <c r="AG672" i="3"/>
  <c r="K672" i="3" l="1"/>
  <c r="AE672" i="3" s="1"/>
  <c r="F672" i="3"/>
  <c r="G672" i="3"/>
  <c r="I672" i="3" l="1"/>
  <c r="J672" i="3"/>
  <c r="M672" i="3"/>
  <c r="N672" i="3" s="1"/>
  <c r="V672" i="3"/>
  <c r="A673" i="3"/>
  <c r="B673" i="3" s="1"/>
  <c r="W672" i="3" l="1"/>
  <c r="AC673" i="3"/>
  <c r="AA673" i="3"/>
  <c r="P673" i="3"/>
  <c r="Q673" i="3" s="1"/>
  <c r="R673" i="3" s="1"/>
  <c r="S673" i="3" s="1"/>
  <c r="AD673" i="3"/>
  <c r="Z673" i="3"/>
  <c r="L672" i="3"/>
  <c r="T673" i="3" l="1"/>
  <c r="AG673" i="3" s="1"/>
  <c r="U672" i="3"/>
  <c r="Y671" i="3"/>
  <c r="E673" i="3" l="1"/>
  <c r="H673" i="3" s="1"/>
  <c r="K673" i="3" s="1"/>
  <c r="AE673" i="3" s="1"/>
  <c r="AH673" i="3"/>
  <c r="D673" i="3"/>
  <c r="F673" i="3" l="1"/>
  <c r="G673" i="3"/>
  <c r="V673" i="3"/>
  <c r="A674" i="3"/>
  <c r="B674" i="3" s="1"/>
  <c r="Z674" i="3" l="1"/>
  <c r="AC674" i="3"/>
  <c r="P674" i="3"/>
  <c r="Q674" i="3" s="1"/>
  <c r="R674" i="3" s="1"/>
  <c r="S674" i="3" s="1"/>
  <c r="AA674" i="3"/>
  <c r="I673" i="3"/>
  <c r="W673" i="3" s="1"/>
  <c r="J673" i="3"/>
  <c r="M673" i="3"/>
  <c r="N673" i="3" s="1"/>
  <c r="T674" i="3" l="1"/>
  <c r="L673" i="3"/>
  <c r="AH674" i="3" l="1"/>
  <c r="U673" i="3"/>
  <c r="D674" i="3" s="1"/>
  <c r="AG674" i="3"/>
  <c r="Y672" i="3"/>
  <c r="E674" i="3" l="1"/>
  <c r="H674" i="3" s="1"/>
  <c r="K674" i="3" s="1"/>
  <c r="AE674" i="3" s="1"/>
  <c r="G674" i="3"/>
  <c r="F674" i="3" l="1"/>
  <c r="V674" i="3"/>
  <c r="A675" i="3"/>
  <c r="B675" i="3" s="1"/>
  <c r="I674" i="3"/>
  <c r="J674" i="3"/>
  <c r="AD674" i="3" s="1"/>
  <c r="M674" i="3"/>
  <c r="N674" i="3" s="1"/>
  <c r="W674" i="3" l="1"/>
  <c r="L674" i="3"/>
  <c r="AD675" i="3"/>
  <c r="P675" i="3"/>
  <c r="Q675" i="3" s="1"/>
  <c r="R675" i="3" s="1"/>
  <c r="S675" i="3" s="1"/>
  <c r="Z675" i="3"/>
  <c r="AA675" i="3"/>
  <c r="AC675" i="3"/>
  <c r="T675" i="3" l="1"/>
  <c r="AH675" i="3" s="1"/>
  <c r="U674" i="3"/>
  <c r="Y673" i="3"/>
  <c r="D675" i="3" l="1"/>
  <c r="G675" i="3" s="1"/>
  <c r="AG675" i="3"/>
  <c r="E675" i="3"/>
  <c r="H675" i="3" s="1"/>
  <c r="K675" i="3" s="1"/>
  <c r="AE675" i="3" s="1"/>
  <c r="F675" i="3" l="1"/>
  <c r="V675" i="3"/>
  <c r="A676" i="3"/>
  <c r="B676" i="3" s="1"/>
  <c r="I675" i="3"/>
  <c r="J675" i="3"/>
  <c r="M675" i="3"/>
  <c r="N675" i="3" s="1"/>
  <c r="AC676" i="3" l="1"/>
  <c r="AD676" i="3"/>
  <c r="P676" i="3"/>
  <c r="Q676" i="3" s="1"/>
  <c r="R676" i="3" s="1"/>
  <c r="S676" i="3" s="1"/>
  <c r="Z676" i="3"/>
  <c r="AA676" i="3"/>
  <c r="L675" i="3"/>
  <c r="W675" i="3"/>
  <c r="T676" i="3" l="1"/>
  <c r="AH676" i="3" s="1"/>
  <c r="U675" i="3"/>
  <c r="Y674" i="3"/>
  <c r="AG676" i="3" l="1"/>
  <c r="D676" i="3"/>
  <c r="G676" i="3" s="1"/>
  <c r="E676" i="3"/>
  <c r="H676" i="3" s="1"/>
  <c r="K676" i="3" l="1"/>
  <c r="AE676" i="3" s="1"/>
  <c r="I676" i="3"/>
  <c r="J676" i="3"/>
  <c r="M676" i="3"/>
  <c r="N676" i="3" s="1"/>
  <c r="F676" i="3"/>
  <c r="L676" i="3" l="1"/>
  <c r="V676" i="3"/>
  <c r="W676" i="3" s="1"/>
  <c r="A677" i="3"/>
  <c r="B677" i="3" s="1"/>
  <c r="P677" i="3" l="1"/>
  <c r="Q677" i="3" s="1"/>
  <c r="R677" i="3" s="1"/>
  <c r="S677" i="3" s="1"/>
  <c r="AC677" i="3"/>
  <c r="AA677" i="3"/>
  <c r="Z677" i="3"/>
  <c r="AD677" i="3"/>
  <c r="U676" i="3"/>
  <c r="Y675" i="3"/>
  <c r="T677" i="3" l="1"/>
  <c r="AG677" i="3" l="1"/>
  <c r="E677" i="3"/>
  <c r="H677" i="3" s="1"/>
  <c r="AH677" i="3"/>
  <c r="D677" i="3"/>
  <c r="F677" i="3" l="1"/>
  <c r="G677" i="3"/>
  <c r="K677" i="3"/>
  <c r="AE677" i="3" s="1"/>
  <c r="V677" i="3" l="1"/>
  <c r="A678" i="3"/>
  <c r="B678" i="3" s="1"/>
  <c r="I677" i="3"/>
  <c r="J677" i="3"/>
  <c r="M677" i="3"/>
  <c r="N677" i="3" s="1"/>
  <c r="L677" i="3" l="1"/>
  <c r="P678" i="3"/>
  <c r="Q678" i="3" s="1"/>
  <c r="R678" i="3" s="1"/>
  <c r="S678" i="3" s="1"/>
  <c r="AA678" i="3"/>
  <c r="AC678" i="3"/>
  <c r="Z678" i="3"/>
  <c r="AD678" i="3"/>
  <c r="W677" i="3"/>
  <c r="T678" i="3" l="1"/>
  <c r="AH678" i="3" s="1"/>
  <c r="U677" i="3"/>
  <c r="Y676" i="3"/>
  <c r="AG678" i="3" l="1"/>
  <c r="E678" i="3"/>
  <c r="H678" i="3" s="1"/>
  <c r="K678" i="3" s="1"/>
  <c r="AE678" i="3" s="1"/>
  <c r="D678" i="3"/>
  <c r="F678" i="3" l="1"/>
  <c r="G678" i="3"/>
  <c r="I678" i="3" s="1"/>
  <c r="V678" i="3"/>
  <c r="A679" i="3"/>
  <c r="B679" i="3" s="1"/>
  <c r="M678" i="3" l="1"/>
  <c r="N678" i="3" s="1"/>
  <c r="J678" i="3"/>
  <c r="L678" i="3" s="1"/>
  <c r="Z679" i="3"/>
  <c r="AD679" i="3"/>
  <c r="AC679" i="3"/>
  <c r="P679" i="3"/>
  <c r="Q679" i="3" s="1"/>
  <c r="R679" i="3" s="1"/>
  <c r="S679" i="3" s="1"/>
  <c r="AA679" i="3"/>
  <c r="W678" i="3"/>
  <c r="T679" i="3" l="1"/>
  <c r="AH679" i="3" s="1"/>
  <c r="U678" i="3"/>
  <c r="Y677" i="3"/>
  <c r="E679" i="3" l="1"/>
  <c r="H679" i="3" s="1"/>
  <c r="K679" i="3" s="1"/>
  <c r="AE679" i="3" s="1"/>
  <c r="D679" i="3"/>
  <c r="G679" i="3" s="1"/>
  <c r="AG679" i="3"/>
  <c r="F679" i="3" l="1"/>
  <c r="I679" i="3"/>
  <c r="J679" i="3"/>
  <c r="M679" i="3"/>
  <c r="N679" i="3" s="1"/>
  <c r="V679" i="3"/>
  <c r="A680" i="3"/>
  <c r="B680" i="3" s="1"/>
  <c r="W679" i="3" l="1"/>
  <c r="AA680" i="3"/>
  <c r="Z680" i="3"/>
  <c r="AD680" i="3"/>
  <c r="P680" i="3"/>
  <c r="Q680" i="3" s="1"/>
  <c r="R680" i="3" s="1"/>
  <c r="S680" i="3" s="1"/>
  <c r="AC680" i="3"/>
  <c r="L679" i="3"/>
  <c r="T680" i="3" l="1"/>
  <c r="AH680" i="3" s="1"/>
  <c r="U679" i="3"/>
  <c r="Y678" i="3"/>
  <c r="D680" i="3" l="1"/>
  <c r="G680" i="3" s="1"/>
  <c r="AG680" i="3"/>
  <c r="E680" i="3"/>
  <c r="H680" i="3" s="1"/>
  <c r="K680" i="3" s="1"/>
  <c r="AE680" i="3" s="1"/>
  <c r="F680" i="3" l="1"/>
  <c r="V680" i="3"/>
  <c r="A681" i="3"/>
  <c r="B681" i="3" s="1"/>
  <c r="I680" i="3"/>
  <c r="J680" i="3"/>
  <c r="M680" i="3"/>
  <c r="N680" i="3" s="1"/>
  <c r="L680" i="3" l="1"/>
  <c r="AA681" i="3"/>
  <c r="P681" i="3"/>
  <c r="Q681" i="3" s="1"/>
  <c r="R681" i="3" s="1"/>
  <c r="S681" i="3" s="1"/>
  <c r="AC681" i="3"/>
  <c r="Z681" i="3"/>
  <c r="AD681" i="3"/>
  <c r="W680" i="3"/>
  <c r="T681" i="3" l="1"/>
  <c r="AH681" i="3" s="1"/>
  <c r="U680" i="3"/>
  <c r="Y679" i="3"/>
  <c r="D681" i="3" l="1"/>
  <c r="G681" i="3" s="1"/>
  <c r="E681" i="3"/>
  <c r="H681" i="3" s="1"/>
  <c r="K681" i="3" s="1"/>
  <c r="AE681" i="3" s="1"/>
  <c r="AG681" i="3"/>
  <c r="F681" i="3" l="1"/>
  <c r="V681" i="3"/>
  <c r="A682" i="3"/>
  <c r="B682" i="3" s="1"/>
  <c r="I681" i="3"/>
  <c r="J681" i="3"/>
  <c r="M681" i="3"/>
  <c r="N681" i="3" s="1"/>
  <c r="L681" i="3" l="1"/>
  <c r="AC682" i="3"/>
  <c r="AA682" i="3"/>
  <c r="P682" i="3"/>
  <c r="Q682" i="3" s="1"/>
  <c r="R682" i="3" s="1"/>
  <c r="S682" i="3" s="1"/>
  <c r="Z682" i="3"/>
  <c r="AD682" i="3"/>
  <c r="W681" i="3"/>
  <c r="T682" i="3" l="1"/>
  <c r="AG682" i="3" s="1"/>
  <c r="U681" i="3"/>
  <c r="Y680" i="3"/>
  <c r="E682" i="3" l="1"/>
  <c r="H682" i="3" s="1"/>
  <c r="K682" i="3" s="1"/>
  <c r="AE682" i="3" s="1"/>
  <c r="AH682" i="3"/>
  <c r="D682" i="3"/>
  <c r="F682" i="3" l="1"/>
  <c r="G682" i="3"/>
  <c r="I682" i="3" s="1"/>
  <c r="V682" i="3"/>
  <c r="A683" i="3"/>
  <c r="B683" i="3" s="1"/>
  <c r="M682" i="3" l="1"/>
  <c r="N682" i="3" s="1"/>
  <c r="J682" i="3"/>
  <c r="L682" i="3" s="1"/>
  <c r="W682" i="3"/>
  <c r="AD683" i="3"/>
  <c r="AA683" i="3"/>
  <c r="Z683" i="3"/>
  <c r="P683" i="3"/>
  <c r="Q683" i="3" s="1"/>
  <c r="R683" i="3" s="1"/>
  <c r="S683" i="3" s="1"/>
  <c r="AC683" i="3"/>
  <c r="T683" i="3" l="1"/>
  <c r="AG683" i="3" s="1"/>
  <c r="U682" i="3"/>
  <c r="Y681" i="3"/>
  <c r="D683" i="3" l="1"/>
  <c r="G683" i="3" s="1"/>
  <c r="AH683" i="3"/>
  <c r="E683" i="3"/>
  <c r="H683" i="3" s="1"/>
  <c r="K683" i="3" s="1"/>
  <c r="AE683" i="3" s="1"/>
  <c r="F683" i="3" l="1"/>
  <c r="V683" i="3"/>
  <c r="A684" i="3"/>
  <c r="B684" i="3" s="1"/>
  <c r="I683" i="3"/>
  <c r="J683" i="3"/>
  <c r="M683" i="3"/>
  <c r="N683" i="3" s="1"/>
  <c r="W683" i="3" l="1"/>
  <c r="L683" i="3"/>
  <c r="Z684" i="3"/>
  <c r="AA684" i="3"/>
  <c r="AC684" i="3"/>
  <c r="P684" i="3"/>
  <c r="Q684" i="3" s="1"/>
  <c r="R684" i="3" s="1"/>
  <c r="S684" i="3" s="1"/>
  <c r="T684" i="3" l="1"/>
  <c r="AG684" i="3" s="1"/>
  <c r="U683" i="3"/>
  <c r="Y682" i="3"/>
  <c r="AH684" i="3" l="1"/>
  <c r="D684" i="3"/>
  <c r="G684" i="3" s="1"/>
  <c r="E684" i="3"/>
  <c r="H684" i="3" s="1"/>
  <c r="K684" i="3" s="1"/>
  <c r="AE684" i="3" s="1"/>
  <c r="F684" i="3" l="1"/>
  <c r="I684" i="3"/>
  <c r="J684" i="3"/>
  <c r="AD684" i="3" s="1"/>
  <c r="M684" i="3"/>
  <c r="N684" i="3" s="1"/>
  <c r="V684" i="3"/>
  <c r="A685" i="3"/>
  <c r="B685" i="3" s="1"/>
  <c r="W684" i="3" l="1"/>
  <c r="Z685" i="3"/>
  <c r="AC685" i="3"/>
  <c r="AD685" i="3"/>
  <c r="P685" i="3"/>
  <c r="Q685" i="3" s="1"/>
  <c r="R685" i="3" s="1"/>
  <c r="S685" i="3" s="1"/>
  <c r="AA685" i="3"/>
  <c r="L684" i="3"/>
  <c r="T685" i="3" l="1"/>
  <c r="AG685" i="3" s="1"/>
  <c r="U684" i="3"/>
  <c r="Y683" i="3"/>
  <c r="E685" i="3" l="1"/>
  <c r="H685" i="3" s="1"/>
  <c r="K685" i="3" s="1"/>
  <c r="AE685" i="3" s="1"/>
  <c r="D685" i="3"/>
  <c r="G685" i="3" s="1"/>
  <c r="AH685" i="3"/>
  <c r="F685" i="3" l="1"/>
  <c r="V685" i="3"/>
  <c r="A686" i="3"/>
  <c r="B686" i="3" s="1"/>
  <c r="I685" i="3"/>
  <c r="J685" i="3"/>
  <c r="M685" i="3"/>
  <c r="N685" i="3" s="1"/>
  <c r="L685" i="3" l="1"/>
  <c r="Z686" i="3"/>
  <c r="AA686" i="3"/>
  <c r="P686" i="3"/>
  <c r="Q686" i="3" s="1"/>
  <c r="R686" i="3" s="1"/>
  <c r="S686" i="3" s="1"/>
  <c r="AC686" i="3"/>
  <c r="AD686" i="3"/>
  <c r="W685" i="3"/>
  <c r="T686" i="3" l="1"/>
  <c r="AH686" i="3" s="1"/>
  <c r="U685" i="3"/>
  <c r="Y684" i="3"/>
  <c r="E686" i="3" l="1"/>
  <c r="H686" i="3" s="1"/>
  <c r="K686" i="3" s="1"/>
  <c r="AE686" i="3" s="1"/>
  <c r="AG686" i="3"/>
  <c r="D686" i="3"/>
  <c r="F686" i="3" l="1"/>
  <c r="G686" i="3"/>
  <c r="V686" i="3"/>
  <c r="A687" i="3"/>
  <c r="B687" i="3" s="1"/>
  <c r="AD687" i="3" l="1"/>
  <c r="AA687" i="3"/>
  <c r="AC687" i="3"/>
  <c r="P687" i="3"/>
  <c r="Q687" i="3" s="1"/>
  <c r="R687" i="3" s="1"/>
  <c r="S687" i="3" s="1"/>
  <c r="Z687" i="3"/>
  <c r="I686" i="3"/>
  <c r="W686" i="3" s="1"/>
  <c r="J686" i="3"/>
  <c r="M686" i="3"/>
  <c r="N686" i="3" s="1"/>
  <c r="T687" i="3" l="1"/>
  <c r="L686" i="3"/>
  <c r="AH687" i="3" l="1"/>
  <c r="U686" i="3"/>
  <c r="D687" i="3" s="1"/>
  <c r="AG687" i="3"/>
  <c r="Y685" i="3"/>
  <c r="E687" i="3" l="1"/>
  <c r="H687" i="3" s="1"/>
  <c r="K687" i="3" s="1"/>
  <c r="AE687" i="3" s="1"/>
  <c r="G687" i="3"/>
  <c r="F687" i="3" l="1"/>
  <c r="V687" i="3"/>
  <c r="A688" i="3"/>
  <c r="B688" i="3" s="1"/>
  <c r="I687" i="3"/>
  <c r="J687" i="3"/>
  <c r="M687" i="3"/>
  <c r="N687" i="3" s="1"/>
  <c r="L687" i="3" l="1"/>
  <c r="W687" i="3"/>
  <c r="Z688" i="3"/>
  <c r="P688" i="3"/>
  <c r="Q688" i="3" s="1"/>
  <c r="R688" i="3" s="1"/>
  <c r="S688" i="3" s="1"/>
  <c r="AC688" i="3"/>
  <c r="AA688" i="3"/>
  <c r="AD688" i="3"/>
  <c r="T688" i="3" l="1"/>
  <c r="AH688" i="3" s="1"/>
  <c r="U687" i="3"/>
  <c r="Y686" i="3"/>
  <c r="D688" i="3" l="1"/>
  <c r="G688" i="3" s="1"/>
  <c r="AG688" i="3"/>
  <c r="E688" i="3"/>
  <c r="H688" i="3" s="1"/>
  <c r="K688" i="3" l="1"/>
  <c r="AE688" i="3" s="1"/>
  <c r="I688" i="3"/>
  <c r="J688" i="3"/>
  <c r="M688" i="3"/>
  <c r="N688" i="3" s="1"/>
  <c r="F688" i="3"/>
  <c r="L688" i="3" l="1"/>
  <c r="V688" i="3"/>
  <c r="W688" i="3" s="1"/>
  <c r="A689" i="3"/>
  <c r="B689" i="3" s="1"/>
  <c r="Z689" i="3" l="1"/>
  <c r="P689" i="3"/>
  <c r="Q689" i="3" s="1"/>
  <c r="R689" i="3" s="1"/>
  <c r="S689" i="3" s="1"/>
  <c r="AC689" i="3"/>
  <c r="AA689" i="3"/>
  <c r="AD689" i="3"/>
  <c r="U688" i="3"/>
  <c r="Y687" i="3"/>
  <c r="T689" i="3" l="1"/>
  <c r="D689" i="3" s="1"/>
  <c r="AH689" i="3" l="1"/>
  <c r="E689" i="3"/>
  <c r="H689" i="3" s="1"/>
  <c r="K689" i="3" s="1"/>
  <c r="AE689" i="3" s="1"/>
  <c r="G689" i="3"/>
  <c r="AG689" i="3"/>
  <c r="F689" i="3" l="1"/>
  <c r="V689" i="3"/>
  <c r="A690" i="3"/>
  <c r="B690" i="3" s="1"/>
  <c r="I689" i="3"/>
  <c r="J689" i="3"/>
  <c r="M689" i="3"/>
  <c r="N689" i="3" s="1"/>
  <c r="L689" i="3" l="1"/>
  <c r="AA690" i="3"/>
  <c r="AC690" i="3"/>
  <c r="P690" i="3"/>
  <c r="Q690" i="3" s="1"/>
  <c r="R690" i="3" s="1"/>
  <c r="S690" i="3" s="1"/>
  <c r="AD690" i="3"/>
  <c r="Z690" i="3"/>
  <c r="W689" i="3"/>
  <c r="T690" i="3" l="1"/>
  <c r="AG690" i="3" s="1"/>
  <c r="U689" i="3"/>
  <c r="Y688" i="3"/>
  <c r="AH690" i="3" l="1"/>
  <c r="E690" i="3"/>
  <c r="H690" i="3" s="1"/>
  <c r="K690" i="3" s="1"/>
  <c r="AE690" i="3" s="1"/>
  <c r="D690" i="3"/>
  <c r="F690" i="3" l="1"/>
  <c r="G690" i="3"/>
  <c r="I690" i="3" s="1"/>
  <c r="V690" i="3"/>
  <c r="A691" i="3"/>
  <c r="B691" i="3" s="1"/>
  <c r="M690" i="3" l="1"/>
  <c r="N690" i="3" s="1"/>
  <c r="J690" i="3"/>
  <c r="L690" i="3" s="1"/>
  <c r="W690" i="3"/>
  <c r="Z691" i="3"/>
  <c r="P691" i="3"/>
  <c r="Q691" i="3" s="1"/>
  <c r="R691" i="3" s="1"/>
  <c r="S691" i="3" s="1"/>
  <c r="AC691" i="3"/>
  <c r="AA691" i="3"/>
  <c r="AD691" i="3"/>
  <c r="U690" i="3" l="1"/>
  <c r="Y689" i="3"/>
  <c r="T691" i="3"/>
  <c r="AH691" i="3" s="1"/>
  <c r="E691" i="3" l="1"/>
  <c r="H691" i="3" s="1"/>
  <c r="K691" i="3" s="1"/>
  <c r="AE691" i="3" s="1"/>
  <c r="D691" i="3"/>
  <c r="AG691" i="3"/>
  <c r="F691" i="3" l="1"/>
  <c r="G691" i="3"/>
  <c r="I691" i="3" s="1"/>
  <c r="V691" i="3"/>
  <c r="A692" i="3"/>
  <c r="B692" i="3" s="1"/>
  <c r="M691" i="3" l="1"/>
  <c r="N691" i="3" s="1"/>
  <c r="W691" i="3"/>
  <c r="J691" i="3"/>
  <c r="L691" i="3" s="1"/>
  <c r="Z692" i="3"/>
  <c r="AC692" i="3"/>
  <c r="AD692" i="3"/>
  <c r="AA692" i="3"/>
  <c r="P692" i="3"/>
  <c r="Q692" i="3" s="1"/>
  <c r="R692" i="3" s="1"/>
  <c r="S692" i="3" s="1"/>
  <c r="T692" i="3" l="1"/>
  <c r="AH692" i="3" s="1"/>
  <c r="U691" i="3"/>
  <c r="Y690" i="3"/>
  <c r="D692" i="3" l="1"/>
  <c r="G692" i="3" s="1"/>
  <c r="AG692" i="3"/>
  <c r="E692" i="3"/>
  <c r="H692" i="3" s="1"/>
  <c r="K692" i="3" s="1"/>
  <c r="AE692" i="3" s="1"/>
  <c r="F692" i="3" l="1"/>
  <c r="I692" i="3"/>
  <c r="J692" i="3"/>
  <c r="M692" i="3"/>
  <c r="N692" i="3" s="1"/>
  <c r="V692" i="3"/>
  <c r="A693" i="3"/>
  <c r="B693" i="3" s="1"/>
  <c r="W692" i="3" l="1"/>
  <c r="AC693" i="3"/>
  <c r="AA693" i="3"/>
  <c r="AD693" i="3"/>
  <c r="Z693" i="3"/>
  <c r="P693" i="3"/>
  <c r="Q693" i="3" s="1"/>
  <c r="R693" i="3" s="1"/>
  <c r="S693" i="3" s="1"/>
  <c r="L692" i="3"/>
  <c r="T693" i="3" l="1"/>
  <c r="AG693" i="3" s="1"/>
  <c r="U692" i="3"/>
  <c r="Y691" i="3"/>
  <c r="E693" i="3" l="1"/>
  <c r="H693" i="3" s="1"/>
  <c r="K693" i="3" s="1"/>
  <c r="AE693" i="3" s="1"/>
  <c r="AH693" i="3"/>
  <c r="D693" i="3"/>
  <c r="F693" i="3" l="1"/>
  <c r="G693" i="3"/>
  <c r="I693" i="3" s="1"/>
  <c r="V693" i="3"/>
  <c r="A694" i="3"/>
  <c r="B694" i="3" s="1"/>
  <c r="M693" i="3" l="1"/>
  <c r="N693" i="3" s="1"/>
  <c r="J693" i="3"/>
  <c r="L693" i="3" s="1"/>
  <c r="Z694" i="3"/>
  <c r="AA694" i="3"/>
  <c r="AC694" i="3"/>
  <c r="P694" i="3"/>
  <c r="Q694" i="3" s="1"/>
  <c r="R694" i="3" s="1"/>
  <c r="S694" i="3" s="1"/>
  <c r="W693" i="3"/>
  <c r="U693" i="3" l="1"/>
  <c r="Y692" i="3"/>
  <c r="T694" i="3"/>
  <c r="AG694" i="3" s="1"/>
  <c r="D694" i="3" l="1"/>
  <c r="E694" i="3"/>
  <c r="H694" i="3" s="1"/>
  <c r="AH694" i="3"/>
  <c r="K694" i="3" l="1"/>
  <c r="AE694" i="3" s="1"/>
  <c r="F694" i="3"/>
  <c r="G694" i="3"/>
  <c r="I694" i="3" l="1"/>
  <c r="J694" i="3"/>
  <c r="AD694" i="3" s="1"/>
  <c r="M694" i="3"/>
  <c r="N694" i="3" s="1"/>
  <c r="V694" i="3"/>
  <c r="A695" i="3"/>
  <c r="B695" i="3" s="1"/>
  <c r="W694" i="3" l="1"/>
  <c r="L694" i="3"/>
  <c r="AC695" i="3"/>
  <c r="AA695" i="3"/>
  <c r="AD695" i="3"/>
  <c r="Z695" i="3"/>
  <c r="P695" i="3"/>
  <c r="Q695" i="3" s="1"/>
  <c r="R695" i="3" s="1"/>
  <c r="S695" i="3" s="1"/>
  <c r="T695" i="3" l="1"/>
  <c r="AH695" i="3" s="1"/>
  <c r="U694" i="3"/>
  <c r="Y693" i="3"/>
  <c r="D695" i="3" l="1"/>
  <c r="G695" i="3" s="1"/>
  <c r="AG695" i="3"/>
  <c r="E695" i="3"/>
  <c r="H695" i="3" s="1"/>
  <c r="K695" i="3" s="1"/>
  <c r="AE695" i="3" s="1"/>
  <c r="F695" i="3" l="1"/>
  <c r="V695" i="3"/>
  <c r="A696" i="3"/>
  <c r="B696" i="3" s="1"/>
  <c r="I695" i="3"/>
  <c r="J695" i="3"/>
  <c r="M695" i="3"/>
  <c r="N695" i="3" s="1"/>
  <c r="L695" i="3" l="1"/>
  <c r="P696" i="3"/>
  <c r="Q696" i="3" s="1"/>
  <c r="R696" i="3" s="1"/>
  <c r="S696" i="3" s="1"/>
  <c r="AA696" i="3"/>
  <c r="AC696" i="3"/>
  <c r="AD696" i="3"/>
  <c r="Z696" i="3"/>
  <c r="W695" i="3"/>
  <c r="T696" i="3" l="1"/>
  <c r="AH696" i="3" s="1"/>
  <c r="U695" i="3"/>
  <c r="Y694" i="3"/>
  <c r="AG696" i="3" l="1"/>
  <c r="D696" i="3"/>
  <c r="G696" i="3" s="1"/>
  <c r="E696" i="3"/>
  <c r="H696" i="3" s="1"/>
  <c r="K696" i="3" s="1"/>
  <c r="AE696" i="3" s="1"/>
  <c r="F696" i="3" l="1"/>
  <c r="V696" i="3"/>
  <c r="A697" i="3"/>
  <c r="B697" i="3" s="1"/>
  <c r="I696" i="3"/>
  <c r="J696" i="3"/>
  <c r="M696" i="3"/>
  <c r="N696" i="3" s="1"/>
  <c r="AD697" i="3" l="1"/>
  <c r="AC697" i="3"/>
  <c r="P697" i="3"/>
  <c r="Q697" i="3" s="1"/>
  <c r="R697" i="3" s="1"/>
  <c r="S697" i="3" s="1"/>
  <c r="Z697" i="3"/>
  <c r="AA697" i="3"/>
  <c r="L696" i="3"/>
  <c r="W696" i="3"/>
  <c r="T697" i="3" l="1"/>
  <c r="AG697" i="3" s="1"/>
  <c r="U696" i="3"/>
  <c r="Y695" i="3"/>
  <c r="E697" i="3" l="1"/>
  <c r="H697" i="3" s="1"/>
  <c r="K697" i="3" s="1"/>
  <c r="AE697" i="3" s="1"/>
  <c r="AH697" i="3"/>
  <c r="D697" i="3"/>
  <c r="F697" i="3" l="1"/>
  <c r="G697" i="3"/>
  <c r="I697" i="3" s="1"/>
  <c r="V697" i="3"/>
  <c r="A698" i="3"/>
  <c r="B698" i="3" s="1"/>
  <c r="M697" i="3" l="1"/>
  <c r="N697" i="3" s="1"/>
  <c r="J697" i="3"/>
  <c r="L697" i="3" s="1"/>
  <c r="W697" i="3"/>
  <c r="Z698" i="3"/>
  <c r="P698" i="3"/>
  <c r="Q698" i="3" s="1"/>
  <c r="R698" i="3" s="1"/>
  <c r="S698" i="3" s="1"/>
  <c r="AD698" i="3"/>
  <c r="AC698" i="3"/>
  <c r="AA698" i="3"/>
  <c r="T698" i="3" l="1"/>
  <c r="AG698" i="3" s="1"/>
  <c r="U697" i="3"/>
  <c r="Y696" i="3"/>
  <c r="AH698" i="3" l="1"/>
  <c r="D698" i="3"/>
  <c r="G698" i="3" s="1"/>
  <c r="E698" i="3"/>
  <c r="H698" i="3" s="1"/>
  <c r="K698" i="3" s="1"/>
  <c r="AE698" i="3" s="1"/>
  <c r="F698" i="3" l="1"/>
  <c r="V698" i="3"/>
  <c r="A699" i="3"/>
  <c r="B699" i="3" s="1"/>
  <c r="I698" i="3"/>
  <c r="J698" i="3"/>
  <c r="M698" i="3"/>
  <c r="N698" i="3" s="1"/>
  <c r="Z699" i="3" l="1"/>
  <c r="P699" i="3"/>
  <c r="Q699" i="3" s="1"/>
  <c r="R699" i="3" s="1"/>
  <c r="S699" i="3" s="1"/>
  <c r="AD699" i="3"/>
  <c r="AA699" i="3"/>
  <c r="AC699" i="3"/>
  <c r="L698" i="3"/>
  <c r="W698" i="3"/>
  <c r="T699" i="3" l="1"/>
  <c r="AG699" i="3" s="1"/>
  <c r="U698" i="3"/>
  <c r="Y697" i="3"/>
  <c r="E699" i="3" l="1"/>
  <c r="H699" i="3" s="1"/>
  <c r="K699" i="3" s="1"/>
  <c r="AE699" i="3" s="1"/>
  <c r="AH699" i="3"/>
  <c r="D699" i="3"/>
  <c r="G699" i="3" s="1"/>
  <c r="F699" i="3" l="1"/>
  <c r="I699" i="3"/>
  <c r="J699" i="3"/>
  <c r="M699" i="3"/>
  <c r="N699" i="3" s="1"/>
  <c r="V699" i="3"/>
  <c r="A700" i="3"/>
  <c r="B700" i="3" s="1"/>
  <c r="W699" i="3" l="1"/>
  <c r="P700" i="3"/>
  <c r="Q700" i="3" s="1"/>
  <c r="R700" i="3" s="1"/>
  <c r="S700" i="3" s="1"/>
  <c r="AA700" i="3"/>
  <c r="AC700" i="3"/>
  <c r="AD700" i="3"/>
  <c r="Z700" i="3"/>
  <c r="L699" i="3"/>
  <c r="U699" i="3" l="1"/>
  <c r="Y698" i="3"/>
  <c r="T700" i="3"/>
  <c r="E700" i="3" l="1"/>
  <c r="H700" i="3" s="1"/>
  <c r="K700" i="3" s="1"/>
  <c r="AE700" i="3" s="1"/>
  <c r="AG700" i="3"/>
  <c r="AH700" i="3"/>
  <c r="D700" i="3"/>
  <c r="F700" i="3" l="1"/>
  <c r="G700" i="3"/>
  <c r="V700" i="3"/>
  <c r="A701" i="3"/>
  <c r="B701" i="3" s="1"/>
  <c r="I700" i="3" l="1"/>
  <c r="W700" i="3" s="1"/>
  <c r="J700" i="3"/>
  <c r="M700" i="3"/>
  <c r="N700" i="3" s="1"/>
  <c r="P701" i="3"/>
  <c r="Q701" i="3" s="1"/>
  <c r="R701" i="3" s="1"/>
  <c r="S701" i="3" s="1"/>
  <c r="AA701" i="3"/>
  <c r="AD701" i="3"/>
  <c r="AC701" i="3"/>
  <c r="Z701" i="3"/>
  <c r="L700" i="3" l="1"/>
  <c r="T701" i="3"/>
  <c r="U700" i="3" l="1"/>
  <c r="D701" i="3" s="1"/>
  <c r="AG701" i="3"/>
  <c r="AH701" i="3"/>
  <c r="Y699" i="3"/>
  <c r="E701" i="3" l="1"/>
  <c r="H701" i="3" s="1"/>
  <c r="K701" i="3" s="1"/>
  <c r="AE701" i="3" s="1"/>
  <c r="G701" i="3"/>
  <c r="F701" i="3" l="1"/>
  <c r="V701" i="3"/>
  <c r="A702" i="3"/>
  <c r="B702" i="3" s="1"/>
  <c r="I701" i="3"/>
  <c r="J701" i="3"/>
  <c r="M701" i="3"/>
  <c r="N701" i="3" s="1"/>
  <c r="L701" i="3" l="1"/>
  <c r="AC702" i="3"/>
  <c r="AD702" i="3"/>
  <c r="P702" i="3"/>
  <c r="Q702" i="3" s="1"/>
  <c r="R702" i="3" s="1"/>
  <c r="S702" i="3" s="1"/>
  <c r="Z702" i="3"/>
  <c r="AA702" i="3"/>
  <c r="W701" i="3"/>
  <c r="T702" i="3" l="1"/>
  <c r="U701" i="3"/>
  <c r="Y700" i="3"/>
  <c r="E702" i="3" l="1"/>
  <c r="H702" i="3" s="1"/>
  <c r="K702" i="3" s="1"/>
  <c r="AE702" i="3" s="1"/>
  <c r="D702" i="3"/>
  <c r="AH702" i="3"/>
  <c r="AG702" i="3"/>
  <c r="F702" i="3" l="1"/>
  <c r="G702" i="3"/>
  <c r="V702" i="3"/>
  <c r="A703" i="3"/>
  <c r="B703" i="3" s="1"/>
  <c r="AA703" i="3" l="1"/>
  <c r="Z703" i="3"/>
  <c r="P703" i="3"/>
  <c r="Q703" i="3" s="1"/>
  <c r="R703" i="3" s="1"/>
  <c r="S703" i="3" s="1"/>
  <c r="AD703" i="3"/>
  <c r="AC703" i="3"/>
  <c r="I702" i="3"/>
  <c r="W702" i="3" s="1"/>
  <c r="J702" i="3"/>
  <c r="M702" i="3"/>
  <c r="N702" i="3" s="1"/>
  <c r="T703" i="3" l="1"/>
  <c r="L702" i="3"/>
  <c r="AH703" i="3" l="1"/>
  <c r="U702" i="3"/>
  <c r="E703" i="3" s="1"/>
  <c r="H703" i="3" s="1"/>
  <c r="AG703" i="3"/>
  <c r="Y701" i="3"/>
  <c r="D703" i="3" l="1"/>
  <c r="F703" i="3" s="1"/>
  <c r="K703" i="3"/>
  <c r="AE703" i="3" s="1"/>
  <c r="G703" i="3" l="1"/>
  <c r="I703" i="3" s="1"/>
  <c r="V703" i="3"/>
  <c r="A704" i="3"/>
  <c r="B704" i="3" s="1"/>
  <c r="M703" i="3" l="1"/>
  <c r="N703" i="3" s="1"/>
  <c r="W703" i="3"/>
  <c r="J703" i="3"/>
  <c r="L703" i="3" s="1"/>
  <c r="Z704" i="3"/>
  <c r="AA704" i="3"/>
  <c r="P704" i="3"/>
  <c r="Q704" i="3" s="1"/>
  <c r="R704" i="3" s="1"/>
  <c r="S704" i="3" s="1"/>
  <c r="AC704" i="3"/>
  <c r="T704" i="3" l="1"/>
  <c r="AG704" i="3" s="1"/>
  <c r="U703" i="3"/>
  <c r="Y702" i="3"/>
  <c r="AH704" i="3" l="1"/>
  <c r="E704" i="3"/>
  <c r="H704" i="3" s="1"/>
  <c r="K704" i="3" s="1"/>
  <c r="AE704" i="3" s="1"/>
  <c r="D704" i="3"/>
  <c r="G704" i="3" s="1"/>
  <c r="F704" i="3" l="1"/>
  <c r="V704" i="3"/>
  <c r="A705" i="3"/>
  <c r="B705" i="3" s="1"/>
  <c r="I704" i="3"/>
  <c r="J704" i="3"/>
  <c r="AD704" i="3" s="1"/>
  <c r="M704" i="3"/>
  <c r="N704" i="3" s="1"/>
  <c r="AC705" i="3" l="1"/>
  <c r="P705" i="3"/>
  <c r="Q705" i="3" s="1"/>
  <c r="R705" i="3" s="1"/>
  <c r="S705" i="3" s="1"/>
  <c r="AA705" i="3"/>
  <c r="AD705" i="3"/>
  <c r="Z705" i="3"/>
  <c r="L704" i="3"/>
  <c r="W704" i="3"/>
  <c r="U704" i="3" l="1"/>
  <c r="Y703" i="3"/>
  <c r="T705" i="3"/>
  <c r="AH705" i="3" s="1"/>
  <c r="E705" i="3" l="1"/>
  <c r="H705" i="3" s="1"/>
  <c r="AG705" i="3"/>
  <c r="D705" i="3"/>
  <c r="F705" i="3" l="1"/>
  <c r="G705" i="3"/>
  <c r="K705" i="3"/>
  <c r="AE705" i="3" s="1"/>
  <c r="V705" i="3" l="1"/>
  <c r="A706" i="3"/>
  <c r="B706" i="3" s="1"/>
  <c r="I705" i="3"/>
  <c r="J705" i="3"/>
  <c r="M705" i="3"/>
  <c r="N705" i="3" s="1"/>
  <c r="Z706" i="3" l="1"/>
  <c r="AD706" i="3"/>
  <c r="P706" i="3"/>
  <c r="Q706" i="3" s="1"/>
  <c r="R706" i="3" s="1"/>
  <c r="S706" i="3" s="1"/>
  <c r="AA706" i="3"/>
  <c r="AC706" i="3"/>
  <c r="L705" i="3"/>
  <c r="W705" i="3"/>
  <c r="T706" i="3" l="1"/>
  <c r="U705" i="3"/>
  <c r="Y704" i="3"/>
  <c r="E706" i="3" l="1"/>
  <c r="H706" i="3" s="1"/>
  <c r="K706" i="3" s="1"/>
  <c r="AE706" i="3" s="1"/>
  <c r="AH706" i="3"/>
  <c r="D706" i="3"/>
  <c r="AG706" i="3"/>
  <c r="F706" i="3" l="1"/>
  <c r="G706" i="3"/>
  <c r="I706" i="3" s="1"/>
  <c r="V706" i="3"/>
  <c r="A707" i="3"/>
  <c r="B707" i="3" s="1"/>
  <c r="M706" i="3" l="1"/>
  <c r="N706" i="3" s="1"/>
  <c r="J706" i="3"/>
  <c r="L706" i="3" s="1"/>
  <c r="W706" i="3"/>
  <c r="AC707" i="3"/>
  <c r="P707" i="3"/>
  <c r="Q707" i="3" s="1"/>
  <c r="R707" i="3" s="1"/>
  <c r="S707" i="3" s="1"/>
  <c r="Z707" i="3"/>
  <c r="AA707" i="3"/>
  <c r="AD707" i="3"/>
  <c r="T707" i="3" l="1"/>
  <c r="AG707" i="3" s="1"/>
  <c r="U706" i="3"/>
  <c r="Y705" i="3"/>
  <c r="E707" i="3" l="1"/>
  <c r="H707" i="3" s="1"/>
  <c r="K707" i="3" s="1"/>
  <c r="AE707" i="3" s="1"/>
  <c r="D707" i="3"/>
  <c r="AH707" i="3"/>
  <c r="F707" i="3" l="1"/>
  <c r="G707" i="3"/>
  <c r="I707" i="3" s="1"/>
  <c r="V707" i="3"/>
  <c r="A708" i="3"/>
  <c r="B708" i="3" s="1"/>
  <c r="W707" i="3" l="1"/>
  <c r="M707" i="3"/>
  <c r="N707" i="3" s="1"/>
  <c r="J707" i="3"/>
  <c r="L707" i="3" s="1"/>
  <c r="AC708" i="3"/>
  <c r="P708" i="3"/>
  <c r="Q708" i="3" s="1"/>
  <c r="R708" i="3" s="1"/>
  <c r="S708" i="3" s="1"/>
  <c r="AD708" i="3"/>
  <c r="Z708" i="3"/>
  <c r="AA708" i="3"/>
  <c r="T708" i="3" l="1"/>
  <c r="AG708" i="3" s="1"/>
  <c r="U707" i="3"/>
  <c r="Y706" i="3"/>
  <c r="D708" i="3" l="1"/>
  <c r="G708" i="3" s="1"/>
  <c r="E708" i="3"/>
  <c r="H708" i="3" s="1"/>
  <c r="K708" i="3" s="1"/>
  <c r="AE708" i="3" s="1"/>
  <c r="AH708" i="3"/>
  <c r="F708" i="3" l="1"/>
  <c r="I708" i="3"/>
  <c r="J708" i="3"/>
  <c r="M708" i="3"/>
  <c r="N708" i="3" s="1"/>
  <c r="V708" i="3"/>
  <c r="A709" i="3"/>
  <c r="B709" i="3" s="1"/>
  <c r="W708" i="3" l="1"/>
  <c r="AC709" i="3"/>
  <c r="P709" i="3"/>
  <c r="Q709" i="3" s="1"/>
  <c r="R709" i="3" s="1"/>
  <c r="S709" i="3" s="1"/>
  <c r="AD709" i="3"/>
  <c r="AA709" i="3"/>
  <c r="Z709" i="3"/>
  <c r="L708" i="3"/>
  <c r="T709" i="3" l="1"/>
  <c r="AG709" i="3" s="1"/>
  <c r="U708" i="3"/>
  <c r="Y707" i="3"/>
  <c r="AH709" i="3" l="1"/>
  <c r="E709" i="3"/>
  <c r="H709" i="3" s="1"/>
  <c r="K709" i="3" s="1"/>
  <c r="AE709" i="3" s="1"/>
  <c r="D709" i="3"/>
  <c r="F709" i="3" l="1"/>
  <c r="G709" i="3"/>
  <c r="I709" i="3" s="1"/>
  <c r="V709" i="3"/>
  <c r="A710" i="3"/>
  <c r="B710" i="3" s="1"/>
  <c r="M709" i="3" l="1"/>
  <c r="N709" i="3" s="1"/>
  <c r="J709" i="3"/>
  <c r="L709" i="3" s="1"/>
  <c r="Z710" i="3"/>
  <c r="AC710" i="3"/>
  <c r="AD710" i="3"/>
  <c r="P710" i="3"/>
  <c r="Q710" i="3" s="1"/>
  <c r="R710" i="3" s="1"/>
  <c r="S710" i="3" s="1"/>
  <c r="AA710" i="3"/>
  <c r="W709" i="3"/>
  <c r="U709" i="3" l="1"/>
  <c r="Y708" i="3"/>
  <c r="T710" i="3"/>
  <c r="AH710" i="3" s="1"/>
  <c r="AG710" i="3" l="1"/>
  <c r="E710" i="3"/>
  <c r="H710" i="3" s="1"/>
  <c r="D710" i="3"/>
  <c r="F710" i="3" l="1"/>
  <c r="G710" i="3"/>
  <c r="K710" i="3"/>
  <c r="AE710" i="3" s="1"/>
  <c r="V710" i="3" l="1"/>
  <c r="A711" i="3"/>
  <c r="B711" i="3" s="1"/>
  <c r="I710" i="3"/>
  <c r="J710" i="3"/>
  <c r="M710" i="3"/>
  <c r="N710" i="3" s="1"/>
  <c r="L710" i="3" l="1"/>
  <c r="AA711" i="3"/>
  <c r="AC711" i="3"/>
  <c r="Z711" i="3"/>
  <c r="P711" i="3"/>
  <c r="Q711" i="3" s="1"/>
  <c r="R711" i="3" s="1"/>
  <c r="S711" i="3" s="1"/>
  <c r="AD711" i="3"/>
  <c r="W710" i="3"/>
  <c r="T711" i="3" l="1"/>
  <c r="AH711" i="3" s="1"/>
  <c r="U710" i="3"/>
  <c r="Y709" i="3"/>
  <c r="E711" i="3" l="1"/>
  <c r="H711" i="3" s="1"/>
  <c r="K711" i="3" s="1"/>
  <c r="AE711" i="3" s="1"/>
  <c r="AG711" i="3"/>
  <c r="D711" i="3"/>
  <c r="V711" i="3" l="1"/>
  <c r="A712" i="3"/>
  <c r="B712" i="3" s="1"/>
  <c r="F711" i="3"/>
  <c r="G711" i="3"/>
  <c r="I711" i="3" l="1"/>
  <c r="W711" i="3" s="1"/>
  <c r="J711" i="3"/>
  <c r="M711" i="3"/>
  <c r="N711" i="3" s="1"/>
  <c r="AA712" i="3"/>
  <c r="Z712" i="3"/>
  <c r="P712" i="3"/>
  <c r="Q712" i="3" s="1"/>
  <c r="R712" i="3" s="1"/>
  <c r="S712" i="3" s="1"/>
  <c r="AD712" i="3"/>
  <c r="AC712" i="3"/>
  <c r="T712" i="3" l="1"/>
  <c r="L711" i="3"/>
  <c r="AH712" i="3" l="1"/>
  <c r="U711" i="3"/>
  <c r="D712" i="3" s="1"/>
  <c r="AG712" i="3"/>
  <c r="Y710" i="3"/>
  <c r="E712" i="3" l="1"/>
  <c r="H712" i="3" s="1"/>
  <c r="K712" i="3" s="1"/>
  <c r="AE712" i="3" s="1"/>
  <c r="G712" i="3"/>
  <c r="F712" i="3" l="1"/>
  <c r="V712" i="3"/>
  <c r="A713" i="3"/>
  <c r="B713" i="3" s="1"/>
  <c r="I712" i="3"/>
  <c r="J712" i="3"/>
  <c r="M712" i="3"/>
  <c r="N712" i="3" s="1"/>
  <c r="L712" i="3" l="1"/>
  <c r="Z713" i="3"/>
  <c r="P713" i="3"/>
  <c r="Q713" i="3" s="1"/>
  <c r="R713" i="3" s="1"/>
  <c r="S713" i="3" s="1"/>
  <c r="AD713" i="3"/>
  <c r="AC713" i="3"/>
  <c r="AA713" i="3"/>
  <c r="W712" i="3"/>
  <c r="U712" i="3" l="1"/>
  <c r="Y711" i="3"/>
  <c r="T713" i="3"/>
  <c r="E713" i="3" l="1"/>
  <c r="H713" i="3" s="1"/>
  <c r="K713" i="3" s="1"/>
  <c r="AE713" i="3" s="1"/>
  <c r="AH713" i="3"/>
  <c r="D713" i="3"/>
  <c r="AG713" i="3"/>
  <c r="F713" i="3" l="1"/>
  <c r="G713" i="3"/>
  <c r="I713" i="3" s="1"/>
  <c r="V713" i="3"/>
  <c r="A714" i="3"/>
  <c r="B714" i="3" s="1"/>
  <c r="M713" i="3" l="1"/>
  <c r="N713" i="3" s="1"/>
  <c r="J713" i="3"/>
  <c r="L713" i="3" s="1"/>
  <c r="Z714" i="3"/>
  <c r="AC714" i="3"/>
  <c r="P714" i="3"/>
  <c r="Q714" i="3" s="1"/>
  <c r="R714" i="3" s="1"/>
  <c r="S714" i="3" s="1"/>
  <c r="AA714" i="3"/>
  <c r="W713" i="3"/>
  <c r="T714" i="3" l="1"/>
  <c r="AG714" i="3" s="1"/>
  <c r="U713" i="3"/>
  <c r="Y712" i="3"/>
  <c r="AH714" i="3" l="1"/>
  <c r="D714" i="3"/>
  <c r="G714" i="3" s="1"/>
  <c r="E714" i="3"/>
  <c r="H714" i="3" s="1"/>
  <c r="K714" i="3" s="1"/>
  <c r="AE714" i="3" s="1"/>
  <c r="F714" i="3" l="1"/>
  <c r="V714" i="3"/>
  <c r="A715" i="3"/>
  <c r="B715" i="3" s="1"/>
  <c r="I714" i="3"/>
  <c r="J714" i="3"/>
  <c r="AD714" i="3" s="1"/>
  <c r="M714" i="3"/>
  <c r="N714" i="3" s="1"/>
  <c r="L714" i="3" l="1"/>
  <c r="AC715" i="3"/>
  <c r="P715" i="3"/>
  <c r="Q715" i="3" s="1"/>
  <c r="R715" i="3" s="1"/>
  <c r="S715" i="3" s="1"/>
  <c r="AA715" i="3"/>
  <c r="Z715" i="3"/>
  <c r="AD715" i="3"/>
  <c r="W714" i="3"/>
  <c r="U714" i="3" l="1"/>
  <c r="Y713" i="3"/>
  <c r="T715" i="3"/>
  <c r="AH715" i="3" s="1"/>
  <c r="E715" i="3" l="1"/>
  <c r="H715" i="3" s="1"/>
  <c r="AG715" i="3"/>
  <c r="D715" i="3"/>
  <c r="F715" i="3" l="1"/>
  <c r="G715" i="3"/>
  <c r="K715" i="3"/>
  <c r="AE715" i="3" s="1"/>
  <c r="V715" i="3" l="1"/>
  <c r="A716" i="3"/>
  <c r="B716" i="3" s="1"/>
  <c r="I715" i="3"/>
  <c r="J715" i="3"/>
  <c r="M715" i="3"/>
  <c r="N715" i="3" s="1"/>
  <c r="L715" i="3" l="1"/>
  <c r="Z716" i="3"/>
  <c r="P716" i="3"/>
  <c r="Q716" i="3" s="1"/>
  <c r="R716" i="3" s="1"/>
  <c r="S716" i="3" s="1"/>
  <c r="AD716" i="3"/>
  <c r="AC716" i="3"/>
  <c r="AA716" i="3"/>
  <c r="W715" i="3"/>
  <c r="T716" i="3" l="1"/>
  <c r="AG716" i="3" s="1"/>
  <c r="U715" i="3"/>
  <c r="Y714" i="3"/>
  <c r="AH716" i="3" l="1"/>
  <c r="E716" i="3"/>
  <c r="H716" i="3" s="1"/>
  <c r="K716" i="3" s="1"/>
  <c r="AE716" i="3" s="1"/>
  <c r="D716" i="3"/>
  <c r="F716" i="3" l="1"/>
  <c r="G716" i="3"/>
  <c r="I716" i="3" s="1"/>
  <c r="V716" i="3"/>
  <c r="A717" i="3"/>
  <c r="B717" i="3" s="1"/>
  <c r="M716" i="3" l="1"/>
  <c r="N716" i="3" s="1"/>
  <c r="J716" i="3"/>
  <c r="L716" i="3" s="1"/>
  <c r="W716" i="3"/>
  <c r="AC717" i="3"/>
  <c r="P717" i="3"/>
  <c r="Q717" i="3" s="1"/>
  <c r="R717" i="3" s="1"/>
  <c r="S717" i="3" s="1"/>
  <c r="Z717" i="3"/>
  <c r="AD717" i="3"/>
  <c r="AA717" i="3"/>
  <c r="T717" i="3" l="1"/>
  <c r="AG717" i="3" s="1"/>
  <c r="U716" i="3"/>
  <c r="Y715" i="3"/>
  <c r="AH717" i="3" l="1"/>
  <c r="D717" i="3"/>
  <c r="G717" i="3" s="1"/>
  <c r="E717" i="3"/>
  <c r="H717" i="3" s="1"/>
  <c r="K717" i="3" s="1"/>
  <c r="AE717" i="3" s="1"/>
  <c r="F717" i="3" l="1"/>
  <c r="V717" i="3"/>
  <c r="A718" i="3"/>
  <c r="B718" i="3" s="1"/>
  <c r="I717" i="3"/>
  <c r="J717" i="3"/>
  <c r="M717" i="3"/>
  <c r="N717" i="3" s="1"/>
  <c r="L717" i="3" l="1"/>
  <c r="P718" i="3"/>
  <c r="Q718" i="3" s="1"/>
  <c r="R718" i="3" s="1"/>
  <c r="S718" i="3" s="1"/>
  <c r="AA718" i="3"/>
  <c r="AD718" i="3"/>
  <c r="AC718" i="3"/>
  <c r="Z718" i="3"/>
  <c r="W717" i="3"/>
  <c r="T718" i="3" l="1"/>
  <c r="AG718" i="3" s="1"/>
  <c r="U717" i="3"/>
  <c r="Y716" i="3"/>
  <c r="AH718" i="3" l="1"/>
  <c r="D718" i="3"/>
  <c r="G718" i="3" s="1"/>
  <c r="E718" i="3"/>
  <c r="H718" i="3" s="1"/>
  <c r="K718" i="3" s="1"/>
  <c r="AE718" i="3" s="1"/>
  <c r="F718" i="3" l="1"/>
  <c r="V718" i="3"/>
  <c r="A719" i="3"/>
  <c r="B719" i="3" s="1"/>
  <c r="I718" i="3"/>
  <c r="J718" i="3"/>
  <c r="M718" i="3"/>
  <c r="N718" i="3" s="1"/>
  <c r="L718" i="3" l="1"/>
  <c r="AA719" i="3"/>
  <c r="AC719" i="3"/>
  <c r="P719" i="3"/>
  <c r="Q719" i="3" s="1"/>
  <c r="R719" i="3" s="1"/>
  <c r="S719" i="3" s="1"/>
  <c r="Z719" i="3"/>
  <c r="AD719" i="3"/>
  <c r="W718" i="3"/>
  <c r="T719" i="3" l="1"/>
  <c r="AH719" i="3" s="1"/>
  <c r="U718" i="3"/>
  <c r="Y717" i="3"/>
  <c r="D719" i="3" l="1"/>
  <c r="G719" i="3" s="1"/>
  <c r="AG719" i="3"/>
  <c r="E719" i="3"/>
  <c r="H719" i="3" s="1"/>
  <c r="K719" i="3" s="1"/>
  <c r="AE719" i="3" s="1"/>
  <c r="F719" i="3" l="1"/>
  <c r="V719" i="3"/>
  <c r="A720" i="3"/>
  <c r="B720" i="3" s="1"/>
  <c r="I719" i="3"/>
  <c r="J719" i="3"/>
  <c r="M719" i="3"/>
  <c r="N719" i="3" s="1"/>
  <c r="L719" i="3" l="1"/>
  <c r="AD720" i="3"/>
  <c r="P720" i="3"/>
  <c r="Q720" i="3" s="1"/>
  <c r="R720" i="3" s="1"/>
  <c r="S720" i="3" s="1"/>
  <c r="AC720" i="3"/>
  <c r="AA720" i="3"/>
  <c r="Z720" i="3"/>
  <c r="W719" i="3"/>
  <c r="U719" i="3" l="1"/>
  <c r="Y718" i="3"/>
  <c r="T720" i="3"/>
  <c r="E720" i="3" l="1"/>
  <c r="H720" i="3" s="1"/>
  <c r="K720" i="3" s="1"/>
  <c r="AE720" i="3" s="1"/>
  <c r="D720" i="3"/>
  <c r="AG720" i="3"/>
  <c r="AH720" i="3"/>
  <c r="F720" i="3" l="1"/>
  <c r="G720" i="3"/>
  <c r="V720" i="3"/>
  <c r="A721" i="3"/>
  <c r="B721" i="3" s="1"/>
  <c r="AD721" i="3" l="1"/>
  <c r="AC721" i="3"/>
  <c r="P721" i="3"/>
  <c r="Q721" i="3" s="1"/>
  <c r="R721" i="3" s="1"/>
  <c r="S721" i="3" s="1"/>
  <c r="Z721" i="3"/>
  <c r="AA721" i="3"/>
  <c r="I720" i="3"/>
  <c r="W720" i="3" s="1"/>
  <c r="J720" i="3"/>
  <c r="M720" i="3"/>
  <c r="N720" i="3" s="1"/>
  <c r="L720" i="3" l="1"/>
  <c r="T721" i="3"/>
  <c r="AG721" i="3" l="1"/>
  <c r="U720" i="3"/>
  <c r="D721" i="3" s="1"/>
  <c r="AH721" i="3"/>
  <c r="Y719" i="3"/>
  <c r="E721" i="3" l="1"/>
  <c r="H721" i="3" s="1"/>
  <c r="K721" i="3" s="1"/>
  <c r="AE721" i="3" s="1"/>
  <c r="G721" i="3"/>
  <c r="F721" i="3" l="1"/>
  <c r="I721" i="3"/>
  <c r="J721" i="3"/>
  <c r="M721" i="3"/>
  <c r="N721" i="3" s="1"/>
  <c r="V721" i="3"/>
  <c r="A722" i="3"/>
  <c r="B722" i="3" s="1"/>
  <c r="W721" i="3" l="1"/>
  <c r="P722" i="3"/>
  <c r="Q722" i="3" s="1"/>
  <c r="R722" i="3" s="1"/>
  <c r="S722" i="3" s="1"/>
  <c r="AC722" i="3"/>
  <c r="Z722" i="3"/>
  <c r="AD722" i="3"/>
  <c r="AA722" i="3"/>
  <c r="L721" i="3"/>
  <c r="U721" i="3" l="1"/>
  <c r="Y720" i="3"/>
  <c r="T722" i="3"/>
  <c r="AG722" i="3" s="1"/>
  <c r="E722" i="3" l="1"/>
  <c r="H722" i="3" s="1"/>
  <c r="K722" i="3" s="1"/>
  <c r="AE722" i="3" s="1"/>
  <c r="AH722" i="3"/>
  <c r="D722" i="3"/>
  <c r="F722" i="3" l="1"/>
  <c r="G722" i="3"/>
  <c r="V722" i="3"/>
  <c r="A723" i="3"/>
  <c r="B723" i="3" s="1"/>
  <c r="AC723" i="3" l="1"/>
  <c r="P723" i="3"/>
  <c r="Q723" i="3" s="1"/>
  <c r="R723" i="3" s="1"/>
  <c r="S723" i="3" s="1"/>
  <c r="AA723" i="3"/>
  <c r="AD723" i="3"/>
  <c r="Z723" i="3"/>
  <c r="I722" i="3"/>
  <c r="W722" i="3" s="1"/>
  <c r="J722" i="3"/>
  <c r="M722" i="3"/>
  <c r="N722" i="3" s="1"/>
  <c r="L722" i="3" l="1"/>
  <c r="T723" i="3"/>
  <c r="U722" i="3" l="1"/>
  <c r="D723" i="3" s="1"/>
  <c r="AG723" i="3"/>
  <c r="AH723" i="3"/>
  <c r="Y721" i="3"/>
  <c r="E723" i="3" l="1"/>
  <c r="H723" i="3" s="1"/>
  <c r="K723" i="3" s="1"/>
  <c r="AE723" i="3" s="1"/>
  <c r="G723" i="3"/>
  <c r="F723" i="3" l="1"/>
  <c r="V723" i="3"/>
  <c r="A724" i="3"/>
  <c r="B724" i="3" s="1"/>
  <c r="I723" i="3"/>
  <c r="J723" i="3"/>
  <c r="M723" i="3"/>
  <c r="N723" i="3" s="1"/>
  <c r="L723" i="3" l="1"/>
  <c r="AA724" i="3"/>
  <c r="P724" i="3"/>
  <c r="Q724" i="3" s="1"/>
  <c r="R724" i="3" s="1"/>
  <c r="S724" i="3" s="1"/>
  <c r="Z724" i="3"/>
  <c r="AC724" i="3"/>
  <c r="W723" i="3"/>
  <c r="T724" i="3" l="1"/>
  <c r="AH724" i="3" s="1"/>
  <c r="U723" i="3"/>
  <c r="Y722" i="3"/>
  <c r="D724" i="3" l="1"/>
  <c r="G724" i="3" s="1"/>
  <c r="AG724" i="3"/>
  <c r="E724" i="3"/>
  <c r="H724" i="3" s="1"/>
  <c r="K724" i="3" s="1"/>
  <c r="AE724" i="3" s="1"/>
  <c r="F724" i="3" l="1"/>
  <c r="V724" i="3"/>
  <c r="A725" i="3"/>
  <c r="B725" i="3" s="1"/>
  <c r="I724" i="3"/>
  <c r="J724" i="3"/>
  <c r="AD724" i="3" s="1"/>
  <c r="M724" i="3"/>
  <c r="N724" i="3" s="1"/>
  <c r="AA725" i="3" l="1"/>
  <c r="AD725" i="3"/>
  <c r="AC725" i="3"/>
  <c r="P725" i="3"/>
  <c r="Q725" i="3" s="1"/>
  <c r="R725" i="3" s="1"/>
  <c r="S725" i="3" s="1"/>
  <c r="Z725" i="3"/>
  <c r="L724" i="3"/>
  <c r="W724" i="3"/>
  <c r="T725" i="3" l="1"/>
  <c r="AG725" i="3" s="1"/>
  <c r="U724" i="3"/>
  <c r="Y723" i="3"/>
  <c r="AH725" i="3" l="1"/>
  <c r="D725" i="3"/>
  <c r="G725" i="3" s="1"/>
  <c r="E725" i="3"/>
  <c r="H725" i="3" s="1"/>
  <c r="K725" i="3" s="1"/>
  <c r="AE725" i="3" s="1"/>
  <c r="F725" i="3" l="1"/>
  <c r="V725" i="3"/>
  <c r="A726" i="3"/>
  <c r="B726" i="3" s="1"/>
  <c r="I725" i="3"/>
  <c r="J725" i="3"/>
  <c r="M725" i="3"/>
  <c r="N725" i="3" s="1"/>
  <c r="L725" i="3" l="1"/>
  <c r="P726" i="3"/>
  <c r="Q726" i="3" s="1"/>
  <c r="R726" i="3" s="1"/>
  <c r="S726" i="3" s="1"/>
  <c r="AD726" i="3"/>
  <c r="AC726" i="3"/>
  <c r="AA726" i="3"/>
  <c r="Z726" i="3"/>
  <c r="W725" i="3"/>
  <c r="T726" i="3" l="1"/>
  <c r="AH726" i="3" s="1"/>
  <c r="U725" i="3"/>
  <c r="Y724" i="3"/>
  <c r="D726" i="3" l="1"/>
  <c r="G726" i="3" s="1"/>
  <c r="AG726" i="3"/>
  <c r="E726" i="3"/>
  <c r="H726" i="3" s="1"/>
  <c r="K726" i="3" s="1"/>
  <c r="AE726" i="3" s="1"/>
  <c r="F726" i="3" l="1"/>
  <c r="V726" i="3"/>
  <c r="A727" i="3"/>
  <c r="B727" i="3" s="1"/>
  <c r="I726" i="3"/>
  <c r="J726" i="3"/>
  <c r="M726" i="3"/>
  <c r="N726" i="3" s="1"/>
  <c r="L726" i="3" l="1"/>
  <c r="Z727" i="3"/>
  <c r="AA727" i="3"/>
  <c r="AC727" i="3"/>
  <c r="AD727" i="3"/>
  <c r="P727" i="3"/>
  <c r="Q727" i="3" s="1"/>
  <c r="R727" i="3" s="1"/>
  <c r="S727" i="3" s="1"/>
  <c r="W726" i="3"/>
  <c r="U726" i="3" l="1"/>
  <c r="Y725" i="3"/>
  <c r="T727" i="3"/>
  <c r="E727" i="3" l="1"/>
  <c r="H727" i="3" s="1"/>
  <c r="K727" i="3" s="1"/>
  <c r="AE727" i="3" s="1"/>
  <c r="AH727" i="3"/>
  <c r="AG727" i="3"/>
  <c r="D727" i="3"/>
  <c r="F727" i="3" l="1"/>
  <c r="G727" i="3"/>
  <c r="J727" i="3" s="1"/>
  <c r="V727" i="3"/>
  <c r="A728" i="3"/>
  <c r="B728" i="3" s="1"/>
  <c r="I727" i="3" l="1"/>
  <c r="W727" i="3" s="1"/>
  <c r="M727" i="3"/>
  <c r="N727" i="3" s="1"/>
  <c r="L727" i="3"/>
  <c r="AA728" i="3"/>
  <c r="AC728" i="3"/>
  <c r="Z728" i="3"/>
  <c r="AD728" i="3"/>
  <c r="P728" i="3"/>
  <c r="Q728" i="3" s="1"/>
  <c r="R728" i="3" s="1"/>
  <c r="S728" i="3" s="1"/>
  <c r="T728" i="3" l="1"/>
  <c r="U727" i="3"/>
  <c r="Y726" i="3"/>
  <c r="D728" i="3" l="1"/>
  <c r="G728" i="3" s="1"/>
  <c r="AG728" i="3"/>
  <c r="AH728" i="3"/>
  <c r="E728" i="3"/>
  <c r="H728" i="3" s="1"/>
  <c r="K728" i="3" s="1"/>
  <c r="AE728" i="3" s="1"/>
  <c r="F728" i="3" l="1"/>
  <c r="V728" i="3"/>
  <c r="A729" i="3"/>
  <c r="B729" i="3" s="1"/>
  <c r="I728" i="3"/>
  <c r="J728" i="3"/>
  <c r="M728" i="3"/>
  <c r="N728" i="3" s="1"/>
  <c r="AA729" i="3" l="1"/>
  <c r="P729" i="3"/>
  <c r="Q729" i="3" s="1"/>
  <c r="R729" i="3" s="1"/>
  <c r="S729" i="3" s="1"/>
  <c r="Z729" i="3"/>
  <c r="AD729" i="3"/>
  <c r="AC729" i="3"/>
  <c r="L728" i="3"/>
  <c r="W728" i="3"/>
  <c r="T729" i="3" l="1"/>
  <c r="AG729" i="3" s="1"/>
  <c r="U728" i="3"/>
  <c r="Y727" i="3"/>
  <c r="AH729" i="3" l="1"/>
  <c r="D729" i="3"/>
  <c r="G729" i="3" s="1"/>
  <c r="E729" i="3"/>
  <c r="H729" i="3" s="1"/>
  <c r="K729" i="3" s="1"/>
  <c r="AE729" i="3" s="1"/>
  <c r="F729" i="3" l="1"/>
  <c r="V729" i="3"/>
  <c r="A730" i="3"/>
  <c r="B730" i="3" s="1"/>
  <c r="I729" i="3"/>
  <c r="J729" i="3"/>
  <c r="M729" i="3"/>
  <c r="N729" i="3" s="1"/>
  <c r="L729" i="3" l="1"/>
  <c r="Z730" i="3"/>
  <c r="AD730" i="3"/>
  <c r="P730" i="3"/>
  <c r="Q730" i="3" s="1"/>
  <c r="R730" i="3" s="1"/>
  <c r="S730" i="3" s="1"/>
  <c r="AA730" i="3"/>
  <c r="AC730" i="3"/>
  <c r="W729" i="3"/>
  <c r="T730" i="3" l="1"/>
  <c r="AH730" i="3" s="1"/>
  <c r="U729" i="3"/>
  <c r="Y728" i="3"/>
  <c r="D730" i="3" l="1"/>
  <c r="G730" i="3" s="1"/>
  <c r="AG730" i="3"/>
  <c r="E730" i="3"/>
  <c r="H730" i="3" s="1"/>
  <c r="K730" i="3" s="1"/>
  <c r="AE730" i="3" s="1"/>
  <c r="F730" i="3" l="1"/>
  <c r="V730" i="3"/>
  <c r="A731" i="3"/>
  <c r="B731" i="3" s="1"/>
  <c r="I730" i="3"/>
  <c r="J730" i="3"/>
  <c r="M730" i="3"/>
  <c r="N730" i="3" s="1"/>
  <c r="P731" i="3" l="1"/>
  <c r="Q731" i="3" s="1"/>
  <c r="R731" i="3" s="1"/>
  <c r="S731" i="3" s="1"/>
  <c r="AC731" i="3"/>
  <c r="AD731" i="3"/>
  <c r="AA731" i="3"/>
  <c r="Z731" i="3"/>
  <c r="L730" i="3"/>
  <c r="W730" i="3"/>
  <c r="U730" i="3" l="1"/>
  <c r="Y729" i="3"/>
  <c r="T731" i="3"/>
  <c r="D731" i="3" l="1"/>
  <c r="G731" i="3" s="1"/>
  <c r="AH731" i="3"/>
  <c r="E731" i="3"/>
  <c r="H731" i="3" s="1"/>
  <c r="AG731" i="3"/>
  <c r="K731" i="3" l="1"/>
  <c r="AE731" i="3" s="1"/>
  <c r="I731" i="3"/>
  <c r="J731" i="3"/>
  <c r="M731" i="3"/>
  <c r="N731" i="3" s="1"/>
  <c r="F731" i="3"/>
  <c r="L731" i="3" l="1"/>
  <c r="V731" i="3"/>
  <c r="W731" i="3" s="1"/>
  <c r="A732" i="3"/>
  <c r="B732" i="3" s="1"/>
  <c r="AC732" i="3" l="1"/>
  <c r="AA732" i="3"/>
  <c r="P732" i="3"/>
  <c r="Q732" i="3" s="1"/>
  <c r="R732" i="3" s="1"/>
  <c r="S732" i="3" s="1"/>
  <c r="AD732" i="3"/>
  <c r="Z732" i="3"/>
  <c r="U731" i="3"/>
  <c r="Y730" i="3"/>
  <c r="T732" i="3" l="1"/>
  <c r="AH732" i="3" s="1"/>
  <c r="E732" i="3" l="1"/>
  <c r="H732" i="3" s="1"/>
  <c r="K732" i="3" s="1"/>
  <c r="AE732" i="3" s="1"/>
  <c r="D732" i="3"/>
  <c r="AG732" i="3"/>
  <c r="F732" i="3" l="1"/>
  <c r="G732" i="3"/>
  <c r="I732" i="3" s="1"/>
  <c r="V732" i="3"/>
  <c r="A733" i="3"/>
  <c r="B733" i="3" s="1"/>
  <c r="J732" i="3" l="1"/>
  <c r="L732" i="3" s="1"/>
  <c r="M732" i="3"/>
  <c r="N732" i="3" s="1"/>
  <c r="W732" i="3"/>
  <c r="P733" i="3"/>
  <c r="Q733" i="3" s="1"/>
  <c r="R733" i="3" s="1"/>
  <c r="S733" i="3" s="1"/>
  <c r="AC733" i="3"/>
  <c r="AD733" i="3"/>
  <c r="AA733" i="3"/>
  <c r="Z733" i="3"/>
  <c r="T733" i="3" l="1"/>
  <c r="AH733" i="3" s="1"/>
  <c r="U732" i="3"/>
  <c r="Y731" i="3"/>
  <c r="E733" i="3" l="1"/>
  <c r="H733" i="3" s="1"/>
  <c r="K733" i="3" s="1"/>
  <c r="AE733" i="3" s="1"/>
  <c r="AG733" i="3"/>
  <c r="D733" i="3"/>
  <c r="F733" i="3" l="1"/>
  <c r="G733" i="3"/>
  <c r="M733" i="3" s="1"/>
  <c r="N733" i="3" s="1"/>
  <c r="V733" i="3"/>
  <c r="A734" i="3"/>
  <c r="B734" i="3" s="1"/>
  <c r="J733" i="3" l="1"/>
  <c r="L733" i="3" s="1"/>
  <c r="I733" i="3"/>
  <c r="W733" i="3" s="1"/>
  <c r="AC734" i="3"/>
  <c r="Z734" i="3"/>
  <c r="P734" i="3"/>
  <c r="Q734" i="3" s="1"/>
  <c r="R734" i="3" s="1"/>
  <c r="S734" i="3" s="1"/>
  <c r="AA734" i="3"/>
  <c r="T734" i="3" l="1"/>
  <c r="AH734" i="3" s="1"/>
  <c r="U733" i="3"/>
  <c r="Y732" i="3"/>
  <c r="E734" i="3" l="1"/>
  <c r="H734" i="3" s="1"/>
  <c r="K734" i="3" s="1"/>
  <c r="AE734" i="3" s="1"/>
  <c r="AG734" i="3"/>
  <c r="D734" i="3"/>
  <c r="G734" i="3" s="1"/>
  <c r="F734" i="3" l="1"/>
  <c r="I734" i="3"/>
  <c r="J734" i="3"/>
  <c r="AD734" i="3" s="1"/>
  <c r="M734" i="3"/>
  <c r="N734" i="3" s="1"/>
  <c r="V734" i="3"/>
  <c r="A735" i="3"/>
  <c r="B735" i="3" s="1"/>
  <c r="W734" i="3" l="1"/>
  <c r="AA735" i="3"/>
  <c r="Z735" i="3"/>
  <c r="AD735" i="3"/>
  <c r="AC735" i="3"/>
  <c r="P735" i="3"/>
  <c r="Q735" i="3" s="1"/>
  <c r="R735" i="3" s="1"/>
  <c r="S735" i="3" s="1"/>
  <c r="L734" i="3"/>
  <c r="T735" i="3" l="1"/>
  <c r="AH735" i="3" s="1"/>
  <c r="U734" i="3"/>
  <c r="Y733" i="3"/>
  <c r="E735" i="3" l="1"/>
  <c r="H735" i="3" s="1"/>
  <c r="K735" i="3" s="1"/>
  <c r="AE735" i="3" s="1"/>
  <c r="AG735" i="3"/>
  <c r="D735" i="3"/>
  <c r="F735" i="3" l="1"/>
  <c r="G735" i="3"/>
  <c r="I735" i="3" s="1"/>
  <c r="V735" i="3"/>
  <c r="A736" i="3"/>
  <c r="B736" i="3" s="1"/>
  <c r="M735" i="3" l="1"/>
  <c r="N735" i="3" s="1"/>
  <c r="J735" i="3"/>
  <c r="L735" i="3" s="1"/>
  <c r="W735" i="3"/>
  <c r="Z736" i="3"/>
  <c r="P736" i="3"/>
  <c r="Q736" i="3" s="1"/>
  <c r="R736" i="3" s="1"/>
  <c r="S736" i="3" s="1"/>
  <c r="AC736" i="3"/>
  <c r="AA736" i="3"/>
  <c r="AD736" i="3"/>
  <c r="T736" i="3" l="1"/>
  <c r="AH736" i="3" s="1"/>
  <c r="U735" i="3"/>
  <c r="Y734" i="3"/>
  <c r="AG736" i="3" l="1"/>
  <c r="E736" i="3"/>
  <c r="H736" i="3" s="1"/>
  <c r="K736" i="3" s="1"/>
  <c r="AE736" i="3" s="1"/>
  <c r="D736" i="3"/>
  <c r="F736" i="3" l="1"/>
  <c r="G736" i="3"/>
  <c r="I736" i="3" s="1"/>
  <c r="V736" i="3"/>
  <c r="A737" i="3"/>
  <c r="B737" i="3" s="1"/>
  <c r="M736" i="3" l="1"/>
  <c r="N736" i="3" s="1"/>
  <c r="J736" i="3"/>
  <c r="L736" i="3" s="1"/>
  <c r="AA737" i="3"/>
  <c r="AC737" i="3"/>
  <c r="P737" i="3"/>
  <c r="Q737" i="3" s="1"/>
  <c r="R737" i="3" s="1"/>
  <c r="S737" i="3" s="1"/>
  <c r="AD737" i="3"/>
  <c r="Z737" i="3"/>
  <c r="W736" i="3"/>
  <c r="T737" i="3" l="1"/>
  <c r="AG737" i="3" s="1"/>
  <c r="U736" i="3"/>
  <c r="Y735" i="3"/>
  <c r="D737" i="3" l="1"/>
  <c r="G737" i="3" s="1"/>
  <c r="E737" i="3"/>
  <c r="H737" i="3" s="1"/>
  <c r="K737" i="3" s="1"/>
  <c r="AE737" i="3" s="1"/>
  <c r="AH737" i="3"/>
  <c r="F737" i="3" l="1"/>
  <c r="V737" i="3"/>
  <c r="A738" i="3"/>
  <c r="B738" i="3" s="1"/>
  <c r="I737" i="3"/>
  <c r="J737" i="3"/>
  <c r="M737" i="3"/>
  <c r="N737" i="3" s="1"/>
  <c r="L737" i="3" l="1"/>
  <c r="Z738" i="3"/>
  <c r="AD738" i="3"/>
  <c r="AA738" i="3"/>
  <c r="AC738" i="3"/>
  <c r="P738" i="3"/>
  <c r="Q738" i="3" s="1"/>
  <c r="R738" i="3" s="1"/>
  <c r="S738" i="3" s="1"/>
  <c r="W737" i="3"/>
  <c r="T738" i="3" l="1"/>
  <c r="AG738" i="3" s="1"/>
  <c r="U737" i="3"/>
  <c r="Y736" i="3"/>
  <c r="D738" i="3" l="1"/>
  <c r="G738" i="3" s="1"/>
  <c r="E738" i="3"/>
  <c r="H738" i="3" s="1"/>
  <c r="K738" i="3" s="1"/>
  <c r="AE738" i="3" s="1"/>
  <c r="AH738" i="3"/>
  <c r="F738" i="3" l="1"/>
  <c r="V738" i="3"/>
  <c r="A739" i="3"/>
  <c r="B739" i="3" s="1"/>
  <c r="I738" i="3"/>
  <c r="J738" i="3"/>
  <c r="M738" i="3"/>
  <c r="N738" i="3" s="1"/>
  <c r="L738" i="3" l="1"/>
  <c r="P739" i="3"/>
  <c r="Q739" i="3" s="1"/>
  <c r="R739" i="3" s="1"/>
  <c r="S739" i="3" s="1"/>
  <c r="AC739" i="3"/>
  <c r="AA739" i="3"/>
  <c r="AD739" i="3"/>
  <c r="Z739" i="3"/>
  <c r="W738" i="3"/>
  <c r="T739" i="3" l="1"/>
  <c r="AH739" i="3" s="1"/>
  <c r="U738" i="3"/>
  <c r="Y737" i="3"/>
  <c r="AG739" i="3" l="1"/>
  <c r="E739" i="3"/>
  <c r="H739" i="3" s="1"/>
  <c r="K739" i="3" s="1"/>
  <c r="AE739" i="3" s="1"/>
  <c r="D739" i="3"/>
  <c r="F739" i="3" l="1"/>
  <c r="G739" i="3"/>
  <c r="I739" i="3" s="1"/>
  <c r="V739" i="3"/>
  <c r="A740" i="3"/>
  <c r="B740" i="3" s="1"/>
  <c r="M739" i="3" l="1"/>
  <c r="N739" i="3" s="1"/>
  <c r="J739" i="3"/>
  <c r="L739" i="3" s="1"/>
  <c r="AC740" i="3"/>
  <c r="Z740" i="3"/>
  <c r="AD740" i="3"/>
  <c r="AA740" i="3"/>
  <c r="P740" i="3"/>
  <c r="Q740" i="3" s="1"/>
  <c r="R740" i="3" s="1"/>
  <c r="S740" i="3" s="1"/>
  <c r="W739" i="3"/>
  <c r="T740" i="3" l="1"/>
  <c r="AG740" i="3" s="1"/>
  <c r="U739" i="3"/>
  <c r="Y738" i="3"/>
  <c r="D740" i="3" l="1"/>
  <c r="G740" i="3" s="1"/>
  <c r="AH740" i="3"/>
  <c r="E740" i="3"/>
  <c r="H740" i="3" s="1"/>
  <c r="K740" i="3" l="1"/>
  <c r="AE740" i="3" s="1"/>
  <c r="I740" i="3"/>
  <c r="J740" i="3"/>
  <c r="M740" i="3"/>
  <c r="N740" i="3" s="1"/>
  <c r="F740" i="3"/>
  <c r="L740" i="3" l="1"/>
  <c r="V740" i="3"/>
  <c r="W740" i="3" s="1"/>
  <c r="A741" i="3"/>
  <c r="B741" i="3" s="1"/>
  <c r="Z741" i="3" l="1"/>
  <c r="P741" i="3"/>
  <c r="Q741" i="3" s="1"/>
  <c r="R741" i="3" s="1"/>
  <c r="S741" i="3" s="1"/>
  <c r="AA741" i="3"/>
  <c r="AC741" i="3"/>
  <c r="AD741" i="3"/>
  <c r="U740" i="3"/>
  <c r="Y739" i="3"/>
  <c r="T741" i="3" l="1"/>
  <c r="AG741" i="3" s="1"/>
  <c r="E741" i="3" l="1"/>
  <c r="H741" i="3" s="1"/>
  <c r="K741" i="3" s="1"/>
  <c r="AE741" i="3" s="1"/>
  <c r="AH741" i="3"/>
  <c r="D741" i="3"/>
  <c r="G741" i="3" s="1"/>
  <c r="F741" i="3" l="1"/>
  <c r="I741" i="3"/>
  <c r="J741" i="3"/>
  <c r="M741" i="3"/>
  <c r="N741" i="3" s="1"/>
  <c r="V741" i="3"/>
  <c r="A742" i="3"/>
  <c r="B742" i="3" s="1"/>
  <c r="W741" i="3" l="1"/>
  <c r="L741" i="3"/>
  <c r="AC742" i="3"/>
  <c r="P742" i="3"/>
  <c r="Q742" i="3" s="1"/>
  <c r="R742" i="3" s="1"/>
  <c r="S742" i="3" s="1"/>
  <c r="AA742" i="3"/>
  <c r="AD742" i="3"/>
  <c r="Z742" i="3"/>
  <c r="T742" i="3" l="1"/>
  <c r="AG742" i="3" s="1"/>
  <c r="U741" i="3"/>
  <c r="Y740" i="3"/>
  <c r="E742" i="3" l="1"/>
  <c r="H742" i="3" s="1"/>
  <c r="K742" i="3" s="1"/>
  <c r="AE742" i="3" s="1"/>
  <c r="AH742" i="3"/>
  <c r="D742" i="3"/>
  <c r="F742" i="3" l="1"/>
  <c r="G742" i="3"/>
  <c r="I742" i="3" s="1"/>
  <c r="V742" i="3"/>
  <c r="A743" i="3"/>
  <c r="B743" i="3" s="1"/>
  <c r="M742" i="3" l="1"/>
  <c r="N742" i="3" s="1"/>
  <c r="J742" i="3"/>
  <c r="L742" i="3" s="1"/>
  <c r="P743" i="3"/>
  <c r="Q743" i="3" s="1"/>
  <c r="R743" i="3" s="1"/>
  <c r="S743" i="3" s="1"/>
  <c r="AC743" i="3"/>
  <c r="AD743" i="3"/>
  <c r="Z743" i="3"/>
  <c r="AA743" i="3"/>
  <c r="W742" i="3"/>
  <c r="T743" i="3" l="1"/>
  <c r="AG743" i="3" s="1"/>
  <c r="U742" i="3"/>
  <c r="Y741" i="3"/>
  <c r="AH743" i="3" l="1"/>
  <c r="E743" i="3"/>
  <c r="H743" i="3" s="1"/>
  <c r="K743" i="3" s="1"/>
  <c r="AE743" i="3" s="1"/>
  <c r="D743" i="3"/>
  <c r="F743" i="3" l="1"/>
  <c r="G743" i="3"/>
  <c r="I743" i="3" s="1"/>
  <c r="V743" i="3"/>
  <c r="A744" i="3"/>
  <c r="B744" i="3" s="1"/>
  <c r="M743" i="3" l="1"/>
  <c r="N743" i="3" s="1"/>
  <c r="J743" i="3"/>
  <c r="L743" i="3" s="1"/>
  <c r="W743" i="3"/>
  <c r="AA744" i="3"/>
  <c r="Z744" i="3"/>
  <c r="AC744" i="3"/>
  <c r="P744" i="3"/>
  <c r="Q744" i="3" s="1"/>
  <c r="R744" i="3" s="1"/>
  <c r="S744" i="3" s="1"/>
  <c r="T744" i="3" l="1"/>
  <c r="AG744" i="3" s="1"/>
  <c r="U743" i="3"/>
  <c r="Y742" i="3"/>
  <c r="AH744" i="3" l="1"/>
  <c r="E744" i="3"/>
  <c r="H744" i="3" s="1"/>
  <c r="K744" i="3" s="1"/>
  <c r="AE744" i="3" s="1"/>
  <c r="D744" i="3"/>
  <c r="F744" i="3" l="1"/>
  <c r="G744" i="3"/>
  <c r="I744" i="3" s="1"/>
  <c r="V744" i="3"/>
  <c r="A745" i="3"/>
  <c r="B745" i="3" s="1"/>
  <c r="J744" i="3" l="1"/>
  <c r="AD744" i="3" s="1"/>
  <c r="M744" i="3"/>
  <c r="N744" i="3" s="1"/>
  <c r="W744" i="3"/>
  <c r="AA745" i="3"/>
  <c r="AC745" i="3"/>
  <c r="AD745" i="3"/>
  <c r="Z745" i="3"/>
  <c r="P745" i="3"/>
  <c r="Q745" i="3" s="1"/>
  <c r="R745" i="3" s="1"/>
  <c r="S745" i="3" s="1"/>
  <c r="L744" i="3" l="1"/>
  <c r="U744" i="3" s="1"/>
  <c r="T745" i="3"/>
  <c r="Y743" i="3" l="1"/>
  <c r="AH745" i="3"/>
  <c r="AG745" i="3"/>
  <c r="E745" i="3"/>
  <c r="H745" i="3" s="1"/>
  <c r="K745" i="3" s="1"/>
  <c r="AE745" i="3" s="1"/>
  <c r="D745" i="3"/>
  <c r="F745" i="3" l="1"/>
  <c r="G745" i="3"/>
  <c r="V745" i="3"/>
  <c r="A746" i="3"/>
  <c r="B746" i="3" s="1"/>
  <c r="P746" i="3" l="1"/>
  <c r="Q746" i="3" s="1"/>
  <c r="R746" i="3" s="1"/>
  <c r="S746" i="3" s="1"/>
  <c r="AC746" i="3"/>
  <c r="AA746" i="3"/>
  <c r="Z746" i="3"/>
  <c r="AD746" i="3"/>
  <c r="I745" i="3"/>
  <c r="W745" i="3" s="1"/>
  <c r="J745" i="3"/>
  <c r="M745" i="3"/>
  <c r="N745" i="3" s="1"/>
  <c r="L745" i="3" l="1"/>
  <c r="T746" i="3"/>
  <c r="AG746" i="3" l="1"/>
  <c r="U745" i="3"/>
  <c r="D746" i="3" s="1"/>
  <c r="AH746" i="3"/>
  <c r="Y744" i="3"/>
  <c r="G746" i="3" l="1"/>
  <c r="E746" i="3"/>
  <c r="H746" i="3" s="1"/>
  <c r="K746" i="3" l="1"/>
  <c r="AE746" i="3" s="1"/>
  <c r="I746" i="3"/>
  <c r="J746" i="3"/>
  <c r="M746" i="3"/>
  <c r="N746" i="3" s="1"/>
  <c r="F746" i="3"/>
  <c r="V746" i="3" l="1"/>
  <c r="W746" i="3" s="1"/>
  <c r="A747" i="3"/>
  <c r="B747" i="3" s="1"/>
  <c r="L746" i="3"/>
  <c r="U746" i="3" l="1"/>
  <c r="Y745" i="3"/>
  <c r="AC747" i="3"/>
  <c r="P747" i="3"/>
  <c r="Q747" i="3" s="1"/>
  <c r="R747" i="3" s="1"/>
  <c r="S747" i="3" s="1"/>
  <c r="AA747" i="3"/>
  <c r="AD747" i="3"/>
  <c r="Z747" i="3"/>
  <c r="T747" i="3" l="1"/>
  <c r="D747" i="3" s="1"/>
  <c r="E747" i="3" l="1"/>
  <c r="H747" i="3" s="1"/>
  <c r="K747" i="3" s="1"/>
  <c r="AE747" i="3" s="1"/>
  <c r="AG747" i="3"/>
  <c r="AH747" i="3"/>
  <c r="G747" i="3"/>
  <c r="F747" i="3" l="1"/>
  <c r="V747" i="3"/>
  <c r="A748" i="3"/>
  <c r="B748" i="3" s="1"/>
  <c r="I747" i="3"/>
  <c r="J747" i="3"/>
  <c r="M747" i="3"/>
  <c r="N747" i="3" s="1"/>
  <c r="AC748" i="3" l="1"/>
  <c r="P748" i="3"/>
  <c r="Q748" i="3" s="1"/>
  <c r="R748" i="3" s="1"/>
  <c r="S748" i="3" s="1"/>
  <c r="AA748" i="3"/>
  <c r="AD748" i="3"/>
  <c r="Z748" i="3"/>
  <c r="L747" i="3"/>
  <c r="W747" i="3"/>
  <c r="T748" i="3" l="1"/>
  <c r="AH748" i="3" s="1"/>
  <c r="U747" i="3"/>
  <c r="Y746" i="3"/>
  <c r="E748" i="3" l="1"/>
  <c r="H748" i="3" s="1"/>
  <c r="K748" i="3" s="1"/>
  <c r="AE748" i="3" s="1"/>
  <c r="AG748" i="3"/>
  <c r="D748" i="3"/>
  <c r="F748" i="3" l="1"/>
  <c r="G748" i="3"/>
  <c r="I748" i="3" s="1"/>
  <c r="V748" i="3"/>
  <c r="A749" i="3"/>
  <c r="B749" i="3" s="1"/>
  <c r="M748" i="3" l="1"/>
  <c r="N748" i="3" s="1"/>
  <c r="J748" i="3"/>
  <c r="L748" i="3" s="1"/>
  <c r="AC749" i="3"/>
  <c r="AD749" i="3"/>
  <c r="AA749" i="3"/>
  <c r="Z749" i="3"/>
  <c r="P749" i="3"/>
  <c r="Q749" i="3" s="1"/>
  <c r="R749" i="3" s="1"/>
  <c r="S749" i="3" s="1"/>
  <c r="W748" i="3"/>
  <c r="T749" i="3" l="1"/>
  <c r="AH749" i="3" s="1"/>
  <c r="U748" i="3"/>
  <c r="Y747" i="3"/>
  <c r="D749" i="3" l="1"/>
  <c r="G749" i="3" s="1"/>
  <c r="AG749" i="3"/>
  <c r="E749" i="3"/>
  <c r="H749" i="3" s="1"/>
  <c r="K749" i="3" s="1"/>
  <c r="AE749" i="3" s="1"/>
  <c r="F749" i="3" l="1"/>
  <c r="V749" i="3"/>
  <c r="A750" i="3"/>
  <c r="B750" i="3" s="1"/>
  <c r="I749" i="3"/>
  <c r="J749" i="3"/>
  <c r="M749" i="3"/>
  <c r="N749" i="3" s="1"/>
  <c r="Z750" i="3" l="1"/>
  <c r="AD750" i="3"/>
  <c r="AC750" i="3"/>
  <c r="AA750" i="3"/>
  <c r="P750" i="3"/>
  <c r="Q750" i="3" s="1"/>
  <c r="R750" i="3" s="1"/>
  <c r="S750" i="3" s="1"/>
  <c r="L749" i="3"/>
  <c r="W749" i="3"/>
  <c r="T750" i="3" l="1"/>
  <c r="AH750" i="3" s="1"/>
  <c r="U749" i="3"/>
  <c r="Y748" i="3"/>
  <c r="E750" i="3" l="1"/>
  <c r="H750" i="3" s="1"/>
  <c r="K750" i="3" s="1"/>
  <c r="AE750" i="3" s="1"/>
  <c r="AG750" i="3"/>
  <c r="D750" i="3"/>
  <c r="G750" i="3" s="1"/>
  <c r="F750" i="3" l="1"/>
  <c r="V750" i="3"/>
  <c r="A751" i="3"/>
  <c r="B751" i="3" s="1"/>
  <c r="I750" i="3"/>
  <c r="J750" i="3"/>
  <c r="M750" i="3"/>
  <c r="N750" i="3" s="1"/>
  <c r="Z751" i="3" l="1"/>
  <c r="AA751" i="3"/>
  <c r="AC751" i="3"/>
  <c r="AD751" i="3"/>
  <c r="P751" i="3"/>
  <c r="Q751" i="3" s="1"/>
  <c r="R751" i="3" s="1"/>
  <c r="S751" i="3" s="1"/>
  <c r="L750" i="3"/>
  <c r="W750" i="3"/>
  <c r="T751" i="3" l="1"/>
  <c r="AG751" i="3" s="1"/>
  <c r="U750" i="3"/>
  <c r="Y749" i="3"/>
  <c r="D751" i="3" l="1"/>
  <c r="G751" i="3" s="1"/>
  <c r="AH751" i="3"/>
  <c r="E751" i="3"/>
  <c r="H751" i="3" s="1"/>
  <c r="K751" i="3" s="1"/>
  <c r="AE751" i="3" s="1"/>
  <c r="F751" i="3" l="1"/>
  <c r="V751" i="3"/>
  <c r="A752" i="3"/>
  <c r="B752" i="3" s="1"/>
  <c r="I751" i="3"/>
  <c r="J751" i="3"/>
  <c r="M751" i="3"/>
  <c r="N751" i="3" s="1"/>
  <c r="L751" i="3" l="1"/>
  <c r="W751" i="3"/>
  <c r="AC752" i="3"/>
  <c r="AA752" i="3"/>
  <c r="AD752" i="3"/>
  <c r="Z752" i="3"/>
  <c r="P752" i="3"/>
  <c r="Q752" i="3" s="1"/>
  <c r="R752" i="3" s="1"/>
  <c r="S752" i="3" s="1"/>
  <c r="U751" i="3" l="1"/>
  <c r="Y750" i="3"/>
  <c r="T752" i="3"/>
  <c r="AG752" i="3" s="1"/>
  <c r="E752" i="3" l="1"/>
  <c r="H752" i="3" s="1"/>
  <c r="AH752" i="3"/>
  <c r="D752" i="3"/>
  <c r="F752" i="3" l="1"/>
  <c r="G752" i="3"/>
  <c r="K752" i="3"/>
  <c r="AE752" i="3" s="1"/>
  <c r="V752" i="3" l="1"/>
  <c r="A753" i="3"/>
  <c r="B753" i="3" s="1"/>
  <c r="I752" i="3"/>
  <c r="J752" i="3"/>
  <c r="M752" i="3"/>
  <c r="N752" i="3" s="1"/>
  <c r="W752" i="3" l="1"/>
  <c r="P753" i="3"/>
  <c r="Q753" i="3" s="1"/>
  <c r="R753" i="3" s="1"/>
  <c r="S753" i="3" s="1"/>
  <c r="AA753" i="3"/>
  <c r="Z753" i="3"/>
  <c r="AD753" i="3"/>
  <c r="AC753" i="3"/>
  <c r="L752" i="3"/>
  <c r="U752" i="3" l="1"/>
  <c r="Y751" i="3"/>
  <c r="T753" i="3"/>
  <c r="AG753" i="3" s="1"/>
  <c r="D753" i="3" l="1"/>
  <c r="G753" i="3" s="1"/>
  <c r="AH753" i="3"/>
  <c r="E753" i="3"/>
  <c r="H753" i="3" s="1"/>
  <c r="K753" i="3" s="1"/>
  <c r="AE753" i="3" s="1"/>
  <c r="F753" i="3" l="1"/>
  <c r="V753" i="3"/>
  <c r="A754" i="3"/>
  <c r="B754" i="3" s="1"/>
  <c r="I753" i="3"/>
  <c r="J753" i="3"/>
  <c r="M753" i="3"/>
  <c r="N753" i="3" s="1"/>
  <c r="AA754" i="3" l="1"/>
  <c r="AC754" i="3"/>
  <c r="P754" i="3"/>
  <c r="Q754" i="3" s="1"/>
  <c r="R754" i="3" s="1"/>
  <c r="S754" i="3" s="1"/>
  <c r="Z754" i="3"/>
  <c r="L753" i="3"/>
  <c r="W753" i="3"/>
  <c r="T754" i="3" l="1"/>
  <c r="AH754" i="3" s="1"/>
  <c r="U753" i="3"/>
  <c r="Y752" i="3"/>
  <c r="D754" i="3" l="1"/>
  <c r="G754" i="3" s="1"/>
  <c r="E754" i="3"/>
  <c r="H754" i="3" s="1"/>
  <c r="K754" i="3" s="1"/>
  <c r="AE754" i="3" s="1"/>
  <c r="AG754" i="3"/>
  <c r="F754" i="3" l="1"/>
  <c r="I754" i="3"/>
  <c r="J754" i="3"/>
  <c r="AD754" i="3" s="1"/>
  <c r="M754" i="3"/>
  <c r="N754" i="3" s="1"/>
  <c r="V754" i="3"/>
  <c r="A755" i="3"/>
  <c r="B755" i="3" s="1"/>
  <c r="W754" i="3" l="1"/>
  <c r="AA755" i="3"/>
  <c r="AD755" i="3"/>
  <c r="AC755" i="3"/>
  <c r="Z755" i="3"/>
  <c r="P755" i="3"/>
  <c r="Q755" i="3" s="1"/>
  <c r="R755" i="3" s="1"/>
  <c r="S755" i="3" s="1"/>
  <c r="L754" i="3"/>
  <c r="T755" i="3" l="1"/>
  <c r="AH755" i="3" s="1"/>
  <c r="U754" i="3"/>
  <c r="Y753" i="3"/>
  <c r="AG755" i="3" l="1"/>
  <c r="D755" i="3"/>
  <c r="G755" i="3" s="1"/>
  <c r="E755" i="3"/>
  <c r="H755" i="3" s="1"/>
  <c r="K755" i="3" l="1"/>
  <c r="AE755" i="3" s="1"/>
  <c r="I755" i="3"/>
  <c r="J755" i="3"/>
  <c r="M755" i="3"/>
  <c r="N755" i="3" s="1"/>
  <c r="F755" i="3"/>
  <c r="L755" i="3" l="1"/>
  <c r="V755" i="3"/>
  <c r="W755" i="3" s="1"/>
  <c r="A756" i="3"/>
  <c r="B756" i="3" s="1"/>
  <c r="Z756" i="3" l="1"/>
  <c r="AC756" i="3"/>
  <c r="AD756" i="3"/>
  <c r="AA756" i="3"/>
  <c r="P756" i="3"/>
  <c r="Q756" i="3" s="1"/>
  <c r="R756" i="3" s="1"/>
  <c r="S756" i="3" s="1"/>
  <c r="U755" i="3"/>
  <c r="Y754" i="3"/>
  <c r="T756" i="3" l="1"/>
  <c r="E756" i="3" s="1"/>
  <c r="H756" i="3" s="1"/>
  <c r="AG756" i="3" l="1"/>
  <c r="AH756" i="3"/>
  <c r="K756" i="3"/>
  <c r="AE756" i="3" s="1"/>
  <c r="D756" i="3"/>
  <c r="F756" i="3" l="1"/>
  <c r="G756" i="3"/>
  <c r="V756" i="3"/>
  <c r="A757" i="3"/>
  <c r="B757" i="3" s="1"/>
  <c r="AA757" i="3" l="1"/>
  <c r="Z757" i="3"/>
  <c r="P757" i="3"/>
  <c r="Q757" i="3" s="1"/>
  <c r="R757" i="3" s="1"/>
  <c r="S757" i="3" s="1"/>
  <c r="AD757" i="3"/>
  <c r="AC757" i="3"/>
  <c r="I756" i="3"/>
  <c r="W756" i="3" s="1"/>
  <c r="J756" i="3"/>
  <c r="M756" i="3"/>
  <c r="N756" i="3" s="1"/>
  <c r="L756" i="3" l="1"/>
  <c r="T757" i="3"/>
  <c r="AH757" i="3" l="1"/>
  <c r="AG757" i="3"/>
  <c r="U756" i="3"/>
  <c r="E757" i="3" s="1"/>
  <c r="H757" i="3" s="1"/>
  <c r="Y755" i="3"/>
  <c r="K757" i="3" l="1"/>
  <c r="AE757" i="3" s="1"/>
  <c r="D757" i="3"/>
  <c r="F757" i="3" l="1"/>
  <c r="G757" i="3"/>
  <c r="V757" i="3"/>
  <c r="A758" i="3"/>
  <c r="B758" i="3" s="1"/>
  <c r="AC758" i="3" l="1"/>
  <c r="AD758" i="3"/>
  <c r="P758" i="3"/>
  <c r="Q758" i="3" s="1"/>
  <c r="R758" i="3" s="1"/>
  <c r="S758" i="3" s="1"/>
  <c r="AA758" i="3"/>
  <c r="Z758" i="3"/>
  <c r="I757" i="3"/>
  <c r="W757" i="3" s="1"/>
  <c r="J757" i="3"/>
  <c r="M757" i="3"/>
  <c r="N757" i="3" s="1"/>
  <c r="L757" i="3" l="1"/>
  <c r="T758" i="3"/>
  <c r="AH758" i="3" l="1"/>
  <c r="AG758" i="3"/>
  <c r="U757" i="3"/>
  <c r="D758" i="3" s="1"/>
  <c r="Y756" i="3"/>
  <c r="G758" i="3" l="1"/>
  <c r="E758" i="3"/>
  <c r="H758" i="3" s="1"/>
  <c r="K758" i="3" l="1"/>
  <c r="AE758" i="3" s="1"/>
  <c r="I758" i="3"/>
  <c r="J758" i="3"/>
  <c r="M758" i="3"/>
  <c r="N758" i="3" s="1"/>
  <c r="F758" i="3"/>
  <c r="L758" i="3" l="1"/>
  <c r="V758" i="3"/>
  <c r="W758" i="3" s="1"/>
  <c r="A759" i="3"/>
  <c r="B759" i="3" s="1"/>
  <c r="AC759" i="3" l="1"/>
  <c r="AD759" i="3"/>
  <c r="AA759" i="3"/>
  <c r="P759" i="3"/>
  <c r="Q759" i="3" s="1"/>
  <c r="R759" i="3" s="1"/>
  <c r="S759" i="3" s="1"/>
  <c r="Z759" i="3"/>
  <c r="U758" i="3"/>
  <c r="Y757" i="3"/>
  <c r="T759" i="3" l="1"/>
  <c r="AG759" i="3" s="1"/>
  <c r="D759" i="3" l="1"/>
  <c r="G759" i="3" s="1"/>
  <c r="E759" i="3"/>
  <c r="H759" i="3" s="1"/>
  <c r="K759" i="3" s="1"/>
  <c r="AE759" i="3" s="1"/>
  <c r="AH759" i="3"/>
  <c r="F759" i="3" l="1"/>
  <c r="V759" i="3"/>
  <c r="A760" i="3"/>
  <c r="B760" i="3" s="1"/>
  <c r="I759" i="3"/>
  <c r="J759" i="3"/>
  <c r="M759" i="3"/>
  <c r="N759" i="3" s="1"/>
  <c r="AC760" i="3" l="1"/>
  <c r="Z760" i="3"/>
  <c r="P760" i="3"/>
  <c r="Q760" i="3" s="1"/>
  <c r="R760" i="3" s="1"/>
  <c r="S760" i="3" s="1"/>
  <c r="AA760" i="3"/>
  <c r="AD760" i="3"/>
  <c r="L759" i="3"/>
  <c r="W759" i="3"/>
  <c r="T760" i="3" l="1"/>
  <c r="AG760" i="3" s="1"/>
  <c r="U759" i="3"/>
  <c r="Y758" i="3"/>
  <c r="D760" i="3" l="1"/>
  <c r="G760" i="3" s="1"/>
  <c r="AH760" i="3"/>
  <c r="E760" i="3"/>
  <c r="H760" i="3" s="1"/>
  <c r="K760" i="3" s="1"/>
  <c r="AE760" i="3" s="1"/>
  <c r="F760" i="3" l="1"/>
  <c r="I760" i="3"/>
  <c r="J760" i="3"/>
  <c r="M760" i="3"/>
  <c r="N760" i="3" s="1"/>
  <c r="V760" i="3"/>
  <c r="A761" i="3"/>
  <c r="B761" i="3" s="1"/>
  <c r="W760" i="3" l="1"/>
  <c r="P761" i="3"/>
  <c r="Q761" i="3" s="1"/>
  <c r="R761" i="3" s="1"/>
  <c r="S761" i="3" s="1"/>
  <c r="Z761" i="3"/>
  <c r="AA761" i="3"/>
  <c r="AD761" i="3"/>
  <c r="AC761" i="3"/>
  <c r="L760" i="3"/>
  <c r="U760" i="3" l="1"/>
  <c r="Y759" i="3"/>
  <c r="T761" i="3"/>
  <c r="AH761" i="3" s="1"/>
  <c r="D761" i="3" l="1"/>
  <c r="G761" i="3" s="1"/>
  <c r="E761" i="3"/>
  <c r="H761" i="3" s="1"/>
  <c r="K761" i="3" s="1"/>
  <c r="AE761" i="3" s="1"/>
  <c r="AG761" i="3"/>
  <c r="F761" i="3" l="1"/>
  <c r="I761" i="3"/>
  <c r="J761" i="3"/>
  <c r="M761" i="3"/>
  <c r="N761" i="3" s="1"/>
  <c r="V761" i="3"/>
  <c r="A762" i="3"/>
  <c r="B762" i="3" s="1"/>
  <c r="W761" i="3" l="1"/>
  <c r="Z762" i="3"/>
  <c r="AA762" i="3"/>
  <c r="AD762" i="3"/>
  <c r="AC762" i="3"/>
  <c r="P762" i="3"/>
  <c r="Q762" i="3" s="1"/>
  <c r="R762" i="3" s="1"/>
  <c r="S762" i="3" s="1"/>
  <c r="L761" i="3"/>
  <c r="T762" i="3" l="1"/>
  <c r="AH762" i="3" s="1"/>
  <c r="U761" i="3"/>
  <c r="Y760" i="3"/>
  <c r="AG762" i="3" l="1"/>
  <c r="E762" i="3"/>
  <c r="H762" i="3" s="1"/>
  <c r="K762" i="3" s="1"/>
  <c r="AE762" i="3" s="1"/>
  <c r="D762" i="3"/>
  <c r="F762" i="3" l="1"/>
  <c r="G762" i="3"/>
  <c r="I762" i="3" s="1"/>
  <c r="V762" i="3"/>
  <c r="A763" i="3"/>
  <c r="B763" i="3" s="1"/>
  <c r="M762" i="3" l="1"/>
  <c r="N762" i="3" s="1"/>
  <c r="J762" i="3"/>
  <c r="L762" i="3" s="1"/>
  <c r="W762" i="3"/>
  <c r="AA763" i="3"/>
  <c r="AD763" i="3"/>
  <c r="AC763" i="3"/>
  <c r="Z763" i="3"/>
  <c r="P763" i="3"/>
  <c r="Q763" i="3" s="1"/>
  <c r="R763" i="3" s="1"/>
  <c r="S763" i="3" s="1"/>
  <c r="U762" i="3" l="1"/>
  <c r="Y761" i="3"/>
  <c r="T763" i="3"/>
  <c r="D763" i="3" l="1"/>
  <c r="G763" i="3" s="1"/>
  <c r="AH763" i="3"/>
  <c r="E763" i="3"/>
  <c r="H763" i="3" s="1"/>
  <c r="K763" i="3" s="1"/>
  <c r="AE763" i="3" s="1"/>
  <c r="AG763" i="3"/>
  <c r="F763" i="3" l="1"/>
  <c r="V763" i="3"/>
  <c r="A764" i="3"/>
  <c r="B764" i="3" s="1"/>
  <c r="I763" i="3"/>
  <c r="J763" i="3"/>
  <c r="M763" i="3"/>
  <c r="N763" i="3" s="1"/>
  <c r="L763" i="3" l="1"/>
  <c r="Z764" i="3"/>
  <c r="AA764" i="3"/>
  <c r="AC764" i="3"/>
  <c r="P764" i="3"/>
  <c r="Q764" i="3" s="1"/>
  <c r="R764" i="3" s="1"/>
  <c r="S764" i="3" s="1"/>
  <c r="W763" i="3"/>
  <c r="T764" i="3" l="1"/>
  <c r="AG764" i="3" s="1"/>
  <c r="U763" i="3"/>
  <c r="Y762" i="3"/>
  <c r="E764" i="3" l="1"/>
  <c r="H764" i="3" s="1"/>
  <c r="K764" i="3" s="1"/>
  <c r="AE764" i="3" s="1"/>
  <c r="AH764" i="3"/>
  <c r="D764" i="3"/>
  <c r="G764" i="3" s="1"/>
  <c r="F764" i="3" l="1"/>
  <c r="I764" i="3"/>
  <c r="J764" i="3"/>
  <c r="AD764" i="3" s="1"/>
  <c r="M764" i="3"/>
  <c r="N764" i="3" s="1"/>
  <c r="V764" i="3"/>
  <c r="A765" i="3"/>
  <c r="B765" i="3" s="1"/>
  <c r="W764" i="3" l="1"/>
  <c r="Z765" i="3"/>
  <c r="AC765" i="3"/>
  <c r="AA765" i="3"/>
  <c r="P765" i="3"/>
  <c r="Q765" i="3" s="1"/>
  <c r="R765" i="3" s="1"/>
  <c r="S765" i="3" s="1"/>
  <c r="L764" i="3"/>
  <c r="T765" i="3" l="1"/>
  <c r="AG765" i="3" s="1"/>
  <c r="U764" i="3"/>
  <c r="Y763" i="3"/>
  <c r="AH765" i="3" l="1"/>
  <c r="D765" i="3"/>
  <c r="G765" i="3" s="1"/>
  <c r="E765" i="3"/>
  <c r="H765" i="3" s="1"/>
  <c r="K765" i="3" s="1"/>
  <c r="AE765" i="3" s="1"/>
  <c r="F765" i="3" l="1"/>
  <c r="V765" i="3"/>
  <c r="A766" i="3"/>
  <c r="B766" i="3" s="1"/>
  <c r="I765" i="3"/>
  <c r="J765" i="3"/>
  <c r="AD765" i="3" s="1"/>
  <c r="M765" i="3"/>
  <c r="N765" i="3" s="1"/>
  <c r="L765" i="3" l="1"/>
  <c r="P766" i="3"/>
  <c r="Q766" i="3" s="1"/>
  <c r="R766" i="3" s="1"/>
  <c r="S766" i="3" s="1"/>
  <c r="AC766" i="3"/>
  <c r="Z766" i="3"/>
  <c r="AA766" i="3"/>
  <c r="W765" i="3"/>
  <c r="T766" i="3" l="1"/>
  <c r="AH766" i="3" s="1"/>
  <c r="U765" i="3"/>
  <c r="Y764" i="3"/>
  <c r="AG766" i="3" l="1"/>
  <c r="D766" i="3"/>
  <c r="G766" i="3" s="1"/>
  <c r="E766" i="3"/>
  <c r="H766" i="3" s="1"/>
  <c r="K766" i="3" s="1"/>
  <c r="AE766" i="3" s="1"/>
  <c r="F766" i="3" l="1"/>
  <c r="V766" i="3"/>
  <c r="A767" i="3"/>
  <c r="B767" i="3" s="1"/>
  <c r="I766" i="3"/>
  <c r="J766" i="3"/>
  <c r="AD766" i="3" s="1"/>
  <c r="M766" i="3"/>
  <c r="N766" i="3" s="1"/>
  <c r="L766" i="3" l="1"/>
  <c r="AC767" i="3"/>
  <c r="AA767" i="3"/>
  <c r="Z767" i="3"/>
  <c r="P767" i="3"/>
  <c r="Q767" i="3" s="1"/>
  <c r="R767" i="3" s="1"/>
  <c r="S767" i="3" s="1"/>
  <c r="W766" i="3"/>
  <c r="T767" i="3" l="1"/>
  <c r="AG767" i="3" s="1"/>
  <c r="U766" i="3"/>
  <c r="Y765" i="3"/>
  <c r="AH767" i="3" l="1"/>
  <c r="E767" i="3"/>
  <c r="H767" i="3" s="1"/>
  <c r="K767" i="3" s="1"/>
  <c r="AE767" i="3" s="1"/>
  <c r="D767" i="3"/>
  <c r="F767" i="3" l="1"/>
  <c r="G767" i="3"/>
  <c r="I767" i="3" s="1"/>
  <c r="V767" i="3"/>
  <c r="A768" i="3"/>
  <c r="B768" i="3" s="1"/>
  <c r="M767" i="3" l="1"/>
  <c r="N767" i="3" s="1"/>
  <c r="J767" i="3"/>
  <c r="AC768" i="3"/>
  <c r="P768" i="3"/>
  <c r="Q768" i="3" s="1"/>
  <c r="R768" i="3" s="1"/>
  <c r="S768" i="3" s="1"/>
  <c r="Z768" i="3"/>
  <c r="AA768" i="3"/>
  <c r="W767" i="3"/>
  <c r="L767" i="3" l="1"/>
  <c r="U767" i="3" s="1"/>
  <c r="AD767" i="3"/>
  <c r="T768" i="3"/>
  <c r="Y766" i="3" l="1"/>
  <c r="D768" i="3"/>
  <c r="G768" i="3" s="1"/>
  <c r="E768" i="3"/>
  <c r="H768" i="3" s="1"/>
  <c r="K768" i="3" s="1"/>
  <c r="AE768" i="3" s="1"/>
  <c r="AG768" i="3"/>
  <c r="AH768" i="3"/>
  <c r="F768" i="3" l="1"/>
  <c r="V768" i="3"/>
  <c r="A769" i="3"/>
  <c r="B769" i="3" s="1"/>
  <c r="I768" i="3"/>
  <c r="J768" i="3"/>
  <c r="AD768" i="3" s="1"/>
  <c r="M768" i="3"/>
  <c r="N768" i="3" s="1"/>
  <c r="L768" i="3" l="1"/>
  <c r="AA769" i="3"/>
  <c r="AC769" i="3"/>
  <c r="Z769" i="3"/>
  <c r="P769" i="3"/>
  <c r="Q769" i="3" s="1"/>
  <c r="R769" i="3" s="1"/>
  <c r="S769" i="3" s="1"/>
  <c r="W768" i="3"/>
  <c r="T769" i="3" l="1"/>
  <c r="U768" i="3"/>
  <c r="Y767" i="3"/>
  <c r="E769" i="3" l="1"/>
  <c r="H769" i="3" s="1"/>
  <c r="K769" i="3" s="1"/>
  <c r="AE769" i="3" s="1"/>
  <c r="D769" i="3"/>
  <c r="AG769" i="3"/>
  <c r="AH769" i="3"/>
  <c r="F769" i="3" l="1"/>
  <c r="G769" i="3"/>
  <c r="V769" i="3"/>
  <c r="A770" i="3"/>
  <c r="B770" i="3" s="1"/>
  <c r="P770" i="3" l="1"/>
  <c r="Q770" i="3" s="1"/>
  <c r="R770" i="3" s="1"/>
  <c r="S770" i="3" s="1"/>
  <c r="AC770" i="3"/>
  <c r="Z770" i="3"/>
  <c r="AA770" i="3"/>
  <c r="I769" i="3"/>
  <c r="W769" i="3" s="1"/>
  <c r="J769" i="3"/>
  <c r="AD769" i="3" s="1"/>
  <c r="M769" i="3"/>
  <c r="N769" i="3" s="1"/>
  <c r="T770" i="3" l="1"/>
  <c r="L769" i="3"/>
  <c r="AG770" i="3" l="1"/>
  <c r="AH770" i="3"/>
  <c r="U769" i="3"/>
  <c r="E770" i="3" s="1"/>
  <c r="H770" i="3" s="1"/>
  <c r="Y768" i="3"/>
  <c r="D770" i="3" l="1"/>
  <c r="F770" i="3" s="1"/>
  <c r="K770" i="3"/>
  <c r="AE770" i="3" s="1"/>
  <c r="G770" i="3" l="1"/>
  <c r="I770" i="3" s="1"/>
  <c r="V770" i="3"/>
  <c r="A771" i="3"/>
  <c r="B771" i="3" s="1"/>
  <c r="J770" i="3" l="1"/>
  <c r="W770" i="3"/>
  <c r="M770" i="3"/>
  <c r="N770" i="3" s="1"/>
  <c r="P771" i="3"/>
  <c r="Q771" i="3" s="1"/>
  <c r="R771" i="3" s="1"/>
  <c r="S771" i="3" s="1"/>
  <c r="AC771" i="3"/>
  <c r="AA771" i="3"/>
  <c r="Z771" i="3"/>
  <c r="L770" i="3" l="1"/>
  <c r="U770" i="3" s="1"/>
  <c r="AD770" i="3"/>
  <c r="T771" i="3"/>
  <c r="Y769" i="3" l="1"/>
  <c r="D771" i="3"/>
  <c r="G771" i="3" s="1"/>
  <c r="E771" i="3"/>
  <c r="H771" i="3" s="1"/>
  <c r="AH771" i="3"/>
  <c r="AG771" i="3"/>
  <c r="K771" i="3" l="1"/>
  <c r="AE771" i="3" s="1"/>
  <c r="I771" i="3"/>
  <c r="J771" i="3"/>
  <c r="AD771" i="3" s="1"/>
  <c r="M771" i="3"/>
  <c r="N771" i="3" s="1"/>
  <c r="F771" i="3"/>
  <c r="L771" i="3" l="1"/>
  <c r="V771" i="3"/>
  <c r="W771" i="3" s="1"/>
  <c r="A772" i="3"/>
  <c r="B772" i="3" s="1"/>
  <c r="AC772" i="3" l="1"/>
  <c r="P772" i="3"/>
  <c r="Q772" i="3" s="1"/>
  <c r="R772" i="3" s="1"/>
  <c r="S772" i="3" s="1"/>
  <c r="Z772" i="3"/>
  <c r="AA772" i="3"/>
  <c r="U771" i="3"/>
  <c r="Y770" i="3"/>
  <c r="T772" i="3" l="1"/>
  <c r="D772" i="3" s="1"/>
  <c r="G772" i="3" l="1"/>
  <c r="AG772" i="3"/>
  <c r="AH772" i="3"/>
  <c r="E772" i="3"/>
  <c r="H772" i="3" s="1"/>
  <c r="K772" i="3" l="1"/>
  <c r="AE772" i="3" s="1"/>
  <c r="I772" i="3"/>
  <c r="J772" i="3"/>
  <c r="AD772" i="3" s="1"/>
  <c r="M772" i="3"/>
  <c r="N772" i="3" s="1"/>
  <c r="F772" i="3"/>
  <c r="V772" i="3" l="1"/>
  <c r="W772" i="3" s="1"/>
  <c r="A773" i="3"/>
  <c r="B773" i="3" s="1"/>
  <c r="L772" i="3"/>
  <c r="U772" i="3" l="1"/>
  <c r="Y771" i="3"/>
  <c r="Z773" i="3"/>
  <c r="AC773" i="3"/>
  <c r="AA773" i="3"/>
  <c r="P773" i="3"/>
  <c r="Q773" i="3" s="1"/>
  <c r="R773" i="3" s="1"/>
  <c r="S773" i="3" s="1"/>
  <c r="T773" i="3" l="1"/>
  <c r="E773" i="3" s="1"/>
  <c r="H773" i="3" s="1"/>
  <c r="AH773" i="3" l="1"/>
  <c r="AG773" i="3"/>
  <c r="K773" i="3"/>
  <c r="AE773" i="3" s="1"/>
  <c r="D773" i="3"/>
  <c r="F773" i="3" l="1"/>
  <c r="G773" i="3"/>
  <c r="V773" i="3"/>
  <c r="A774" i="3"/>
  <c r="B774" i="3" s="1"/>
  <c r="AC774" i="3" l="1"/>
  <c r="P774" i="3"/>
  <c r="Q774" i="3" s="1"/>
  <c r="R774" i="3" s="1"/>
  <c r="S774" i="3" s="1"/>
  <c r="AA774" i="3"/>
  <c r="Z774" i="3"/>
  <c r="I773" i="3"/>
  <c r="W773" i="3" s="1"/>
  <c r="J773" i="3"/>
  <c r="AD773" i="3" s="1"/>
  <c r="M773" i="3"/>
  <c r="N773" i="3" s="1"/>
  <c r="L773" i="3" l="1"/>
  <c r="T774" i="3"/>
  <c r="AG774" i="3" l="1"/>
  <c r="U773" i="3"/>
  <c r="E774" i="3" s="1"/>
  <c r="H774" i="3" s="1"/>
  <c r="AH774" i="3"/>
  <c r="Y772" i="3"/>
  <c r="D774" i="3" l="1"/>
  <c r="F774" i="3" s="1"/>
  <c r="K774" i="3"/>
  <c r="AE774" i="3" s="1"/>
  <c r="G774" i="3" l="1"/>
  <c r="I774" i="3" s="1"/>
  <c r="V774" i="3"/>
  <c r="A775" i="3"/>
  <c r="B775" i="3" s="1"/>
  <c r="M774" i="3" l="1"/>
  <c r="N774" i="3" s="1"/>
  <c r="J774" i="3"/>
  <c r="AD774" i="3" s="1"/>
  <c r="AC775" i="3"/>
  <c r="Z775" i="3"/>
  <c r="AA775" i="3"/>
  <c r="P775" i="3"/>
  <c r="Q775" i="3" s="1"/>
  <c r="R775" i="3" s="1"/>
  <c r="S775" i="3" s="1"/>
  <c r="W774" i="3"/>
  <c r="L774" i="3" l="1"/>
  <c r="U774" i="3" s="1"/>
  <c r="T775" i="3"/>
  <c r="Y773" i="3" l="1"/>
  <c r="AG775" i="3"/>
  <c r="D775" i="3"/>
  <c r="G775" i="3" s="1"/>
  <c r="E775" i="3"/>
  <c r="H775" i="3" s="1"/>
  <c r="AH775" i="3"/>
  <c r="K775" i="3" l="1"/>
  <c r="AE775" i="3" s="1"/>
  <c r="I775" i="3"/>
  <c r="J775" i="3"/>
  <c r="AD775" i="3" s="1"/>
  <c r="M775" i="3"/>
  <c r="N775" i="3" s="1"/>
  <c r="F775" i="3"/>
  <c r="V775" i="3" l="1"/>
  <c r="W775" i="3" s="1"/>
  <c r="A776" i="3"/>
  <c r="B776" i="3" s="1"/>
  <c r="L775" i="3"/>
  <c r="U775" i="3" l="1"/>
  <c r="Y774" i="3"/>
  <c r="Z776" i="3"/>
  <c r="P776" i="3"/>
  <c r="Q776" i="3" s="1"/>
  <c r="R776" i="3" s="1"/>
  <c r="S776" i="3" s="1"/>
  <c r="AC776" i="3"/>
  <c r="AA776" i="3"/>
  <c r="T776" i="3" l="1"/>
  <c r="D776" i="3" s="1"/>
  <c r="E776" i="3" l="1"/>
  <c r="H776" i="3" s="1"/>
  <c r="K776" i="3" s="1"/>
  <c r="AE776" i="3" s="1"/>
  <c r="AG776" i="3"/>
  <c r="AH776" i="3"/>
  <c r="G776" i="3"/>
  <c r="F776" i="3" l="1"/>
  <c r="V776" i="3"/>
  <c r="A777" i="3"/>
  <c r="B777" i="3" s="1"/>
  <c r="I776" i="3"/>
  <c r="J776" i="3"/>
  <c r="AD776" i="3" s="1"/>
  <c r="M776" i="3"/>
  <c r="N776" i="3" s="1"/>
  <c r="AC777" i="3" l="1"/>
  <c r="Z777" i="3"/>
  <c r="AA777" i="3"/>
  <c r="P777" i="3"/>
  <c r="Q777" i="3" s="1"/>
  <c r="R777" i="3" s="1"/>
  <c r="S777" i="3" s="1"/>
  <c r="L776" i="3"/>
  <c r="W776" i="3"/>
  <c r="T777" i="3" l="1"/>
  <c r="AH777" i="3" s="1"/>
  <c r="U776" i="3"/>
  <c r="Y775" i="3"/>
  <c r="E777" i="3" l="1"/>
  <c r="H777" i="3" s="1"/>
  <c r="K777" i="3" s="1"/>
  <c r="AE777" i="3" s="1"/>
  <c r="D777" i="3"/>
  <c r="G777" i="3" s="1"/>
  <c r="AG777" i="3"/>
  <c r="F777" i="3" l="1"/>
  <c r="I777" i="3"/>
  <c r="J777" i="3"/>
  <c r="AD777" i="3" s="1"/>
  <c r="M777" i="3"/>
  <c r="N777" i="3" s="1"/>
  <c r="V777" i="3"/>
  <c r="A778" i="3"/>
  <c r="B778" i="3" s="1"/>
  <c r="W777" i="3" l="1"/>
  <c r="P778" i="3"/>
  <c r="Q778" i="3" s="1"/>
  <c r="R778" i="3" s="1"/>
  <c r="S778" i="3" s="1"/>
  <c r="AC778" i="3"/>
  <c r="AA778" i="3"/>
  <c r="Z778" i="3"/>
  <c r="L777" i="3"/>
  <c r="U777" i="3" l="1"/>
  <c r="Y776" i="3"/>
  <c r="T778" i="3"/>
  <c r="E778" i="3" l="1"/>
  <c r="H778" i="3" s="1"/>
  <c r="K778" i="3" s="1"/>
  <c r="AE778" i="3" s="1"/>
  <c r="AH778" i="3"/>
  <c r="D778" i="3"/>
  <c r="AG778" i="3"/>
  <c r="F778" i="3" l="1"/>
  <c r="G778" i="3"/>
  <c r="V778" i="3"/>
  <c r="A779" i="3"/>
  <c r="B779" i="3" s="1"/>
  <c r="AC779" i="3" l="1"/>
  <c r="Z779" i="3"/>
  <c r="AA779" i="3"/>
  <c r="P779" i="3"/>
  <c r="Q779" i="3" s="1"/>
  <c r="R779" i="3" s="1"/>
  <c r="S779" i="3" s="1"/>
  <c r="I778" i="3"/>
  <c r="W778" i="3" s="1"/>
  <c r="J778" i="3"/>
  <c r="AD778" i="3" s="1"/>
  <c r="M778" i="3"/>
  <c r="N778" i="3" s="1"/>
  <c r="T779" i="3" l="1"/>
  <c r="L778" i="3"/>
  <c r="AG779" i="3" l="1"/>
  <c r="AH779" i="3"/>
  <c r="U778" i="3"/>
  <c r="D779" i="3" s="1"/>
  <c r="Y777" i="3"/>
  <c r="G779" i="3" l="1"/>
  <c r="E779" i="3"/>
  <c r="H779" i="3" s="1"/>
  <c r="K779" i="3" l="1"/>
  <c r="AE779" i="3" s="1"/>
  <c r="I779" i="3"/>
  <c r="J779" i="3"/>
  <c r="AD779" i="3" s="1"/>
  <c r="M779" i="3"/>
  <c r="N779" i="3" s="1"/>
  <c r="F779" i="3"/>
  <c r="L779" i="3" l="1"/>
  <c r="V779" i="3"/>
  <c r="W779" i="3" s="1"/>
  <c r="A780" i="3"/>
  <c r="B780" i="3" s="1"/>
  <c r="P780" i="3" l="1"/>
  <c r="Q780" i="3" s="1"/>
  <c r="R780" i="3" s="1"/>
  <c r="S780" i="3" s="1"/>
  <c r="AC780" i="3"/>
  <c r="AA780" i="3"/>
  <c r="Z780" i="3"/>
  <c r="U779" i="3"/>
  <c r="Y778" i="3"/>
  <c r="T780" i="3" l="1"/>
  <c r="D780" i="3" l="1"/>
  <c r="AH780" i="3"/>
  <c r="AG780" i="3"/>
  <c r="E780" i="3"/>
  <c r="H780" i="3" s="1"/>
  <c r="K780" i="3" l="1"/>
  <c r="AE780" i="3" s="1"/>
  <c r="F780" i="3"/>
  <c r="G780" i="3"/>
  <c r="I780" i="3" l="1"/>
  <c r="J780" i="3"/>
  <c r="AD780" i="3" s="1"/>
  <c r="M780" i="3"/>
  <c r="N780" i="3" s="1"/>
  <c r="V780" i="3"/>
  <c r="A781" i="3"/>
  <c r="B781" i="3" s="1"/>
  <c r="W780" i="3" l="1"/>
  <c r="Z781" i="3"/>
  <c r="AA781" i="3"/>
  <c r="AC781" i="3"/>
  <c r="P781" i="3"/>
  <c r="Q781" i="3" s="1"/>
  <c r="R781" i="3" s="1"/>
  <c r="S781" i="3" s="1"/>
  <c r="L780" i="3"/>
  <c r="T781" i="3" l="1"/>
  <c r="AH781" i="3" s="1"/>
  <c r="U780" i="3"/>
  <c r="Y779" i="3"/>
  <c r="E781" i="3" l="1"/>
  <c r="H781" i="3" s="1"/>
  <c r="K781" i="3" s="1"/>
  <c r="AE781" i="3" s="1"/>
  <c r="AG781" i="3"/>
  <c r="D781" i="3"/>
  <c r="F781" i="3" l="1"/>
  <c r="G781" i="3"/>
  <c r="V781" i="3"/>
  <c r="A782" i="3"/>
  <c r="B782" i="3" s="1"/>
  <c r="AC782" i="3" l="1"/>
  <c r="Z782" i="3"/>
  <c r="AA782" i="3"/>
  <c r="P782" i="3"/>
  <c r="Q782" i="3" s="1"/>
  <c r="R782" i="3" s="1"/>
  <c r="S782" i="3" s="1"/>
  <c r="I781" i="3"/>
  <c r="W781" i="3" s="1"/>
  <c r="J781" i="3"/>
  <c r="AD781" i="3" s="1"/>
  <c r="M781" i="3"/>
  <c r="N781" i="3" s="1"/>
  <c r="T782" i="3" l="1"/>
  <c r="L781" i="3"/>
  <c r="AH782" i="3" l="1"/>
  <c r="AG782" i="3"/>
  <c r="U781" i="3"/>
  <c r="E782" i="3" s="1"/>
  <c r="H782" i="3" s="1"/>
  <c r="Y780" i="3"/>
  <c r="D782" i="3" l="1"/>
  <c r="F782" i="3" s="1"/>
  <c r="K782" i="3"/>
  <c r="AE782" i="3" s="1"/>
  <c r="G782" i="3" l="1"/>
  <c r="I782" i="3" s="1"/>
  <c r="V782" i="3"/>
  <c r="A783" i="3"/>
  <c r="B783" i="3" s="1"/>
  <c r="M782" i="3" l="1"/>
  <c r="N782" i="3" s="1"/>
  <c r="J782" i="3"/>
  <c r="W782" i="3"/>
  <c r="Z783" i="3"/>
  <c r="P783" i="3"/>
  <c r="Q783" i="3" s="1"/>
  <c r="R783" i="3" s="1"/>
  <c r="S783" i="3" s="1"/>
  <c r="AA783" i="3"/>
  <c r="AC783" i="3"/>
  <c r="L782" i="3" l="1"/>
  <c r="U782" i="3" s="1"/>
  <c r="AD782" i="3"/>
  <c r="T783" i="3"/>
  <c r="Y781" i="3"/>
  <c r="AH783" i="3" l="1"/>
  <c r="E783" i="3"/>
  <c r="H783" i="3" s="1"/>
  <c r="K783" i="3" s="1"/>
  <c r="AE783" i="3" s="1"/>
  <c r="D783" i="3"/>
  <c r="AG783" i="3"/>
  <c r="F783" i="3" l="1"/>
  <c r="G783" i="3"/>
  <c r="I783" i="3" s="1"/>
  <c r="V783" i="3"/>
  <c r="A784" i="3"/>
  <c r="B784" i="3" s="1"/>
  <c r="M783" i="3" l="1"/>
  <c r="N783" i="3" s="1"/>
  <c r="J783" i="3"/>
  <c r="W783" i="3"/>
  <c r="P784" i="3"/>
  <c r="Q784" i="3" s="1"/>
  <c r="R784" i="3" s="1"/>
  <c r="S784" i="3" s="1"/>
  <c r="AC784" i="3"/>
  <c r="AA784" i="3"/>
  <c r="Z784" i="3"/>
  <c r="L783" i="3" l="1"/>
  <c r="U783" i="3" s="1"/>
  <c r="AD783" i="3"/>
  <c r="T784" i="3"/>
  <c r="Y782" i="3" l="1"/>
  <c r="E784" i="3"/>
  <c r="H784" i="3" s="1"/>
  <c r="K784" i="3" s="1"/>
  <c r="AE784" i="3" s="1"/>
  <c r="AH784" i="3"/>
  <c r="AG784" i="3"/>
  <c r="D784" i="3"/>
  <c r="F784" i="3" l="1"/>
  <c r="G784" i="3"/>
  <c r="J784" i="3" s="1"/>
  <c r="AD784" i="3" s="1"/>
  <c r="V784" i="3"/>
  <c r="A785" i="3"/>
  <c r="B785" i="3" s="1"/>
  <c r="M784" i="3" l="1"/>
  <c r="N784" i="3" s="1"/>
  <c r="I784" i="3"/>
  <c r="W784" i="3" s="1"/>
  <c r="AC785" i="3"/>
  <c r="P785" i="3"/>
  <c r="Q785" i="3" s="1"/>
  <c r="R785" i="3" s="1"/>
  <c r="S785" i="3" s="1"/>
  <c r="AD785" i="3"/>
  <c r="Z785" i="3"/>
  <c r="AA785" i="3"/>
  <c r="L784" i="3"/>
  <c r="T785" i="3" l="1"/>
  <c r="AG785" i="3" s="1"/>
  <c r="U784" i="3"/>
  <c r="Y783" i="3"/>
  <c r="AH785" i="3" l="1"/>
  <c r="D785" i="3"/>
  <c r="G785" i="3" s="1"/>
  <c r="E785" i="3"/>
  <c r="H785" i="3" s="1"/>
  <c r="K785" i="3" s="1"/>
  <c r="AE785" i="3" s="1"/>
  <c r="F785" i="3" l="1"/>
  <c r="I785" i="3"/>
  <c r="J785" i="3"/>
  <c r="M785" i="3"/>
  <c r="N785" i="3" s="1"/>
  <c r="V785" i="3"/>
  <c r="A786" i="3"/>
  <c r="B786" i="3" s="1"/>
  <c r="W785" i="3" l="1"/>
  <c r="P786" i="3"/>
  <c r="Q786" i="3" s="1"/>
  <c r="R786" i="3" s="1"/>
  <c r="S786" i="3" s="1"/>
  <c r="Z786" i="3"/>
  <c r="AA786" i="3"/>
  <c r="AC786" i="3"/>
  <c r="AD786" i="3"/>
  <c r="L785" i="3"/>
  <c r="U785" i="3" l="1"/>
  <c r="Y784" i="3"/>
  <c r="T786" i="3"/>
  <c r="AG786" i="3" s="1"/>
  <c r="D786" i="3" l="1"/>
  <c r="G786" i="3" s="1"/>
  <c r="AH786" i="3"/>
  <c r="E786" i="3"/>
  <c r="H786" i="3" s="1"/>
  <c r="K786" i="3" s="1"/>
  <c r="AE786" i="3" s="1"/>
  <c r="F786" i="3" l="1"/>
  <c r="I786" i="3"/>
  <c r="J786" i="3"/>
  <c r="M786" i="3"/>
  <c r="N786" i="3" s="1"/>
  <c r="V786" i="3"/>
  <c r="W786" i="3" s="1"/>
  <c r="A787" i="3"/>
  <c r="B787" i="3" s="1"/>
  <c r="P787" i="3" l="1"/>
  <c r="Q787" i="3" s="1"/>
  <c r="R787" i="3" s="1"/>
  <c r="S787" i="3" s="1"/>
  <c r="AC787" i="3"/>
  <c r="AD787" i="3"/>
  <c r="Z787" i="3"/>
  <c r="AA787" i="3"/>
  <c r="L786" i="3"/>
  <c r="T787" i="3" l="1"/>
  <c r="AH787" i="3" s="1"/>
  <c r="U786" i="3"/>
  <c r="Y785" i="3"/>
  <c r="E787" i="3" l="1"/>
  <c r="H787" i="3" s="1"/>
  <c r="K787" i="3" s="1"/>
  <c r="AE787" i="3" s="1"/>
  <c r="AG787" i="3"/>
  <c r="D787" i="3"/>
  <c r="F787" i="3" l="1"/>
  <c r="G787" i="3"/>
  <c r="V787" i="3"/>
  <c r="A788" i="3"/>
  <c r="B788" i="3" s="1"/>
  <c r="I787" i="3" l="1"/>
  <c r="W787" i="3" s="1"/>
  <c r="J787" i="3"/>
  <c r="M787" i="3"/>
  <c r="N787" i="3" s="1"/>
  <c r="Z788" i="3"/>
  <c r="AC788" i="3"/>
  <c r="AD788" i="3"/>
  <c r="AA788" i="3"/>
  <c r="P788" i="3"/>
  <c r="Q788" i="3" s="1"/>
  <c r="R788" i="3" s="1"/>
  <c r="S788" i="3" s="1"/>
  <c r="T788" i="3" l="1"/>
  <c r="L787" i="3"/>
  <c r="U787" i="3" l="1"/>
  <c r="D788" i="3" s="1"/>
  <c r="AG788" i="3"/>
  <c r="AH788" i="3"/>
  <c r="Y786" i="3"/>
  <c r="E788" i="3" l="1"/>
  <c r="H788" i="3" s="1"/>
  <c r="K788" i="3" s="1"/>
  <c r="AE788" i="3" s="1"/>
  <c r="G788" i="3"/>
  <c r="F788" i="3" l="1"/>
  <c r="V788" i="3"/>
  <c r="A789" i="3"/>
  <c r="B789" i="3" s="1"/>
  <c r="I788" i="3"/>
  <c r="J788" i="3"/>
  <c r="M788" i="3"/>
  <c r="N788" i="3" s="1"/>
  <c r="L788" i="3" l="1"/>
  <c r="AC789" i="3"/>
  <c r="AD789" i="3"/>
  <c r="AA789" i="3"/>
  <c r="P789" i="3"/>
  <c r="Q789" i="3" s="1"/>
  <c r="R789" i="3" s="1"/>
  <c r="S789" i="3" s="1"/>
  <c r="Z789" i="3"/>
  <c r="W788" i="3"/>
  <c r="U788" i="3" l="1"/>
  <c r="Y787" i="3"/>
  <c r="T789" i="3"/>
  <c r="E789" i="3" l="1"/>
  <c r="H789" i="3" s="1"/>
  <c r="K789" i="3" s="1"/>
  <c r="AE789" i="3" s="1"/>
  <c r="D789" i="3"/>
  <c r="G789" i="3" s="1"/>
  <c r="AG789" i="3"/>
  <c r="AH789" i="3"/>
  <c r="F789" i="3" l="1"/>
  <c r="I789" i="3"/>
  <c r="J789" i="3"/>
  <c r="M789" i="3"/>
  <c r="N789" i="3" s="1"/>
  <c r="V789" i="3"/>
  <c r="A790" i="3"/>
  <c r="B790" i="3" s="1"/>
  <c r="W789" i="3" l="1"/>
  <c r="AD790" i="3"/>
  <c r="P790" i="3"/>
  <c r="Q790" i="3" s="1"/>
  <c r="R790" i="3" s="1"/>
  <c r="S790" i="3" s="1"/>
  <c r="AC790" i="3"/>
  <c r="Z790" i="3"/>
  <c r="AA790" i="3"/>
  <c r="L789" i="3"/>
  <c r="T790" i="3" l="1"/>
  <c r="AH790" i="3" s="1"/>
  <c r="U789" i="3"/>
  <c r="Y788" i="3"/>
  <c r="D790" i="3" l="1"/>
  <c r="G790" i="3" s="1"/>
  <c r="E790" i="3"/>
  <c r="H790" i="3" s="1"/>
  <c r="K790" i="3" s="1"/>
  <c r="AE790" i="3" s="1"/>
  <c r="AG790" i="3"/>
  <c r="F790" i="3" l="1"/>
  <c r="I790" i="3"/>
  <c r="J790" i="3"/>
  <c r="M790" i="3"/>
  <c r="N790" i="3" s="1"/>
  <c r="V790" i="3"/>
  <c r="A791" i="3"/>
  <c r="B791" i="3" s="1"/>
  <c r="W790" i="3" l="1"/>
  <c r="Z791" i="3"/>
  <c r="AA791" i="3"/>
  <c r="P791" i="3"/>
  <c r="Q791" i="3" s="1"/>
  <c r="R791" i="3" s="1"/>
  <c r="S791" i="3" s="1"/>
  <c r="AD791" i="3"/>
  <c r="AC791" i="3"/>
  <c r="L790" i="3"/>
  <c r="U790" i="3" l="1"/>
  <c r="Y789" i="3"/>
  <c r="T791" i="3"/>
  <c r="AG791" i="3" s="1"/>
  <c r="E791" i="3" l="1"/>
  <c r="H791" i="3" s="1"/>
  <c r="K791" i="3" s="1"/>
  <c r="AE791" i="3" s="1"/>
  <c r="D791" i="3"/>
  <c r="G791" i="3" s="1"/>
  <c r="AH791" i="3"/>
  <c r="F791" i="3" l="1"/>
  <c r="V791" i="3"/>
  <c r="A792" i="3"/>
  <c r="B792" i="3" s="1"/>
  <c r="I791" i="3"/>
  <c r="J791" i="3"/>
  <c r="M791" i="3"/>
  <c r="N791" i="3" s="1"/>
  <c r="L791" i="3" l="1"/>
  <c r="AC792" i="3"/>
  <c r="AD792" i="3"/>
  <c r="Z792" i="3"/>
  <c r="AA792" i="3"/>
  <c r="P792" i="3"/>
  <c r="Q792" i="3" s="1"/>
  <c r="R792" i="3" s="1"/>
  <c r="S792" i="3" s="1"/>
  <c r="W791" i="3"/>
  <c r="T792" i="3" l="1"/>
  <c r="AG792" i="3" s="1"/>
  <c r="U791" i="3"/>
  <c r="Y790" i="3"/>
  <c r="E792" i="3" l="1"/>
  <c r="H792" i="3" s="1"/>
  <c r="K792" i="3" s="1"/>
  <c r="AE792" i="3" s="1"/>
  <c r="AH792" i="3"/>
  <c r="D792" i="3"/>
  <c r="G792" i="3" s="1"/>
  <c r="F792" i="3" l="1"/>
  <c r="V792" i="3"/>
  <c r="A793" i="3"/>
  <c r="B793" i="3" s="1"/>
  <c r="I792" i="3"/>
  <c r="J792" i="3"/>
  <c r="M792" i="3"/>
  <c r="N792" i="3" s="1"/>
  <c r="AA793" i="3" l="1"/>
  <c r="AC793" i="3"/>
  <c r="Z793" i="3"/>
  <c r="P793" i="3"/>
  <c r="Q793" i="3" s="1"/>
  <c r="R793" i="3" s="1"/>
  <c r="S793" i="3" s="1"/>
  <c r="AD793" i="3"/>
  <c r="L792" i="3"/>
  <c r="W792" i="3"/>
  <c r="T793" i="3" l="1"/>
  <c r="AH793" i="3" s="1"/>
  <c r="U792" i="3"/>
  <c r="Y791" i="3"/>
  <c r="E793" i="3" l="1"/>
  <c r="H793" i="3" s="1"/>
  <c r="K793" i="3" s="1"/>
  <c r="AE793" i="3" s="1"/>
  <c r="AG793" i="3"/>
  <c r="D793" i="3"/>
  <c r="G793" i="3" s="1"/>
  <c r="F793" i="3" l="1"/>
  <c r="I793" i="3"/>
  <c r="J793" i="3"/>
  <c r="M793" i="3"/>
  <c r="N793" i="3" s="1"/>
  <c r="V793" i="3"/>
  <c r="A794" i="3"/>
  <c r="B794" i="3" s="1"/>
  <c r="W793" i="3" l="1"/>
  <c r="P794" i="3"/>
  <c r="Q794" i="3" s="1"/>
  <c r="R794" i="3" s="1"/>
  <c r="S794" i="3" s="1"/>
  <c r="AA794" i="3"/>
  <c r="AC794" i="3"/>
  <c r="Z794" i="3"/>
  <c r="L793" i="3"/>
  <c r="U793" i="3" l="1"/>
  <c r="Y792" i="3"/>
  <c r="T794" i="3"/>
  <c r="AH794" i="3" s="1"/>
  <c r="AG794" i="3" l="1"/>
  <c r="E794" i="3"/>
  <c r="H794" i="3" s="1"/>
  <c r="D794" i="3"/>
  <c r="F794" i="3" l="1"/>
  <c r="G794" i="3"/>
  <c r="K794" i="3"/>
  <c r="AE794" i="3" s="1"/>
  <c r="V794" i="3" l="1"/>
  <c r="A795" i="3"/>
  <c r="B795" i="3" s="1"/>
  <c r="I794" i="3"/>
  <c r="J794" i="3"/>
  <c r="AD794" i="3" s="1"/>
  <c r="M794" i="3"/>
  <c r="N794" i="3" s="1"/>
  <c r="L794" i="3" l="1"/>
  <c r="W794" i="3"/>
  <c r="AD795" i="3"/>
  <c r="Z795" i="3"/>
  <c r="AA795" i="3"/>
  <c r="AC795" i="3"/>
  <c r="P795" i="3"/>
  <c r="Q795" i="3" s="1"/>
  <c r="R795" i="3" s="1"/>
  <c r="S795" i="3" s="1"/>
  <c r="T795" i="3" l="1"/>
  <c r="AH795" i="3" s="1"/>
  <c r="U794" i="3"/>
  <c r="Y793" i="3"/>
  <c r="E795" i="3" l="1"/>
  <c r="H795" i="3" s="1"/>
  <c r="K795" i="3" s="1"/>
  <c r="AE795" i="3" s="1"/>
  <c r="AG795" i="3"/>
  <c r="D795" i="3"/>
  <c r="F795" i="3" l="1"/>
  <c r="G795" i="3"/>
  <c r="I795" i="3" s="1"/>
  <c r="V795" i="3"/>
  <c r="A796" i="3"/>
  <c r="B796" i="3" s="1"/>
  <c r="M795" i="3" l="1"/>
  <c r="N795" i="3" s="1"/>
  <c r="J795" i="3"/>
  <c r="L795" i="3" s="1"/>
  <c r="AD796" i="3"/>
  <c r="AA796" i="3"/>
  <c r="AC796" i="3"/>
  <c r="Z796" i="3"/>
  <c r="P796" i="3"/>
  <c r="Q796" i="3" s="1"/>
  <c r="R796" i="3" s="1"/>
  <c r="S796" i="3" s="1"/>
  <c r="W795" i="3"/>
  <c r="T796" i="3" l="1"/>
  <c r="AG796" i="3" s="1"/>
  <c r="U795" i="3"/>
  <c r="Y794" i="3"/>
  <c r="AH796" i="3" l="1"/>
  <c r="E796" i="3"/>
  <c r="H796" i="3" s="1"/>
  <c r="D796" i="3"/>
  <c r="F796" i="3" l="1"/>
  <c r="G796" i="3"/>
  <c r="K796" i="3"/>
  <c r="AE796" i="3" s="1"/>
  <c r="V796" i="3" l="1"/>
  <c r="A797" i="3"/>
  <c r="B797" i="3" s="1"/>
  <c r="I796" i="3"/>
  <c r="J796" i="3"/>
  <c r="M796" i="3"/>
  <c r="N796" i="3" s="1"/>
  <c r="P797" i="3" l="1"/>
  <c r="Q797" i="3" s="1"/>
  <c r="R797" i="3" s="1"/>
  <c r="S797" i="3" s="1"/>
  <c r="Z797" i="3"/>
  <c r="AD797" i="3"/>
  <c r="AA797" i="3"/>
  <c r="AC797" i="3"/>
  <c r="L796" i="3"/>
  <c r="W796" i="3"/>
  <c r="U796" i="3" l="1"/>
  <c r="Y795" i="3"/>
  <c r="T797" i="3"/>
  <c r="E797" i="3" l="1"/>
  <c r="H797" i="3" s="1"/>
  <c r="K797" i="3" s="1"/>
  <c r="AE797" i="3" s="1"/>
  <c r="AG797" i="3"/>
  <c r="D797" i="3"/>
  <c r="AH797" i="3"/>
  <c r="F797" i="3" l="1"/>
  <c r="G797" i="3"/>
  <c r="V797" i="3"/>
  <c r="A798" i="3"/>
  <c r="B798" i="3" s="1"/>
  <c r="AC798" i="3" l="1"/>
  <c r="P798" i="3"/>
  <c r="Q798" i="3" s="1"/>
  <c r="R798" i="3" s="1"/>
  <c r="S798" i="3" s="1"/>
  <c r="Z798" i="3"/>
  <c r="AD798" i="3"/>
  <c r="AA798" i="3"/>
  <c r="I797" i="3"/>
  <c r="W797" i="3" s="1"/>
  <c r="J797" i="3"/>
  <c r="M797" i="3"/>
  <c r="N797" i="3" s="1"/>
  <c r="L797" i="3" l="1"/>
  <c r="T798" i="3"/>
  <c r="AH798" i="3" l="1"/>
  <c r="AG798" i="3"/>
  <c r="U797" i="3"/>
  <c r="E798" i="3" s="1"/>
  <c r="H798" i="3" s="1"/>
  <c r="Y796" i="3"/>
  <c r="D798" i="3" l="1"/>
  <c r="G798" i="3" s="1"/>
  <c r="K798" i="3"/>
  <c r="AE798" i="3" s="1"/>
  <c r="F798" i="3" l="1"/>
  <c r="I798" i="3"/>
  <c r="J798" i="3"/>
  <c r="M798" i="3"/>
  <c r="N798" i="3" s="1"/>
  <c r="V798" i="3"/>
  <c r="A799" i="3"/>
  <c r="B799" i="3" s="1"/>
  <c r="W798" i="3" l="1"/>
  <c r="AA799" i="3"/>
  <c r="AC799" i="3"/>
  <c r="AD799" i="3"/>
  <c r="Z799" i="3"/>
  <c r="P799" i="3"/>
  <c r="Q799" i="3" s="1"/>
  <c r="R799" i="3" s="1"/>
  <c r="S799" i="3" s="1"/>
  <c r="L798" i="3"/>
  <c r="T799" i="3" l="1"/>
  <c r="AH799" i="3" s="1"/>
  <c r="U798" i="3"/>
  <c r="Y797" i="3"/>
  <c r="E799" i="3" l="1"/>
  <c r="H799" i="3" s="1"/>
  <c r="K799" i="3" s="1"/>
  <c r="AE799" i="3" s="1"/>
  <c r="AG799" i="3"/>
  <c r="D799" i="3"/>
  <c r="F799" i="3" l="1"/>
  <c r="G799" i="3"/>
  <c r="I799" i="3" s="1"/>
  <c r="V799" i="3"/>
  <c r="A800" i="3"/>
  <c r="B800" i="3" s="1"/>
  <c r="M799" i="3" l="1"/>
  <c r="N799" i="3" s="1"/>
  <c r="J799" i="3"/>
  <c r="L799" i="3" s="1"/>
  <c r="AC800" i="3"/>
  <c r="Z800" i="3"/>
  <c r="AA800" i="3"/>
  <c r="AD800" i="3"/>
  <c r="P800" i="3"/>
  <c r="Q800" i="3" s="1"/>
  <c r="R800" i="3" s="1"/>
  <c r="S800" i="3" s="1"/>
  <c r="W799" i="3"/>
  <c r="T800" i="3" l="1"/>
  <c r="AG800" i="3" s="1"/>
  <c r="U799" i="3"/>
  <c r="Y798" i="3"/>
  <c r="E800" i="3" l="1"/>
  <c r="H800" i="3" s="1"/>
  <c r="K800" i="3" s="1"/>
  <c r="AE800" i="3" s="1"/>
  <c r="AH800" i="3"/>
  <c r="D800" i="3"/>
  <c r="F800" i="3" l="1"/>
  <c r="G800" i="3"/>
  <c r="V800" i="3"/>
  <c r="A801" i="3"/>
  <c r="B801" i="3" s="1"/>
  <c r="Z801" i="3" l="1"/>
  <c r="AD801" i="3"/>
  <c r="AC801" i="3"/>
  <c r="AA801" i="3"/>
  <c r="P801" i="3"/>
  <c r="Q801" i="3" s="1"/>
  <c r="R801" i="3" s="1"/>
  <c r="S801" i="3" s="1"/>
  <c r="I800" i="3"/>
  <c r="W800" i="3" s="1"/>
  <c r="J800" i="3"/>
  <c r="M800" i="3"/>
  <c r="N800" i="3" s="1"/>
  <c r="T801" i="3" l="1"/>
  <c r="L800" i="3"/>
  <c r="AG801" i="3" l="1"/>
  <c r="AH801" i="3"/>
  <c r="U800" i="3"/>
  <c r="D801" i="3" s="1"/>
  <c r="Y799" i="3"/>
  <c r="G801" i="3" l="1"/>
  <c r="E801" i="3"/>
  <c r="H801" i="3" s="1"/>
  <c r="K801" i="3" l="1"/>
  <c r="AE801" i="3" s="1"/>
  <c r="I801" i="3"/>
  <c r="J801" i="3"/>
  <c r="M801" i="3"/>
  <c r="N801" i="3" s="1"/>
  <c r="F801" i="3"/>
  <c r="L801" i="3" l="1"/>
  <c r="V801" i="3"/>
  <c r="W801" i="3" s="1"/>
  <c r="A802" i="3"/>
  <c r="B802" i="3" s="1"/>
  <c r="AC802" i="3" l="1"/>
  <c r="Z802" i="3"/>
  <c r="P802" i="3"/>
  <c r="Q802" i="3" s="1"/>
  <c r="R802" i="3" s="1"/>
  <c r="S802" i="3" s="1"/>
  <c r="AD802" i="3"/>
  <c r="AA802" i="3"/>
  <c r="U801" i="3"/>
  <c r="Y800" i="3"/>
  <c r="T802" i="3" l="1"/>
  <c r="AG802" i="3" s="1"/>
  <c r="D802" i="3" l="1"/>
  <c r="G802" i="3" s="1"/>
  <c r="E802" i="3"/>
  <c r="H802" i="3" s="1"/>
  <c r="AH802" i="3"/>
  <c r="K802" i="3" l="1"/>
  <c r="AE802" i="3" s="1"/>
  <c r="I802" i="3"/>
  <c r="J802" i="3"/>
  <c r="M802" i="3"/>
  <c r="N802" i="3" s="1"/>
  <c r="F802" i="3"/>
  <c r="L802" i="3" l="1"/>
  <c r="V802" i="3"/>
  <c r="W802" i="3" s="1"/>
  <c r="A803" i="3"/>
  <c r="B803" i="3" s="1"/>
  <c r="AC803" i="3" l="1"/>
  <c r="Z803" i="3"/>
  <c r="AD803" i="3"/>
  <c r="AA803" i="3"/>
  <c r="P803" i="3"/>
  <c r="Q803" i="3" s="1"/>
  <c r="R803" i="3" s="1"/>
  <c r="S803" i="3" s="1"/>
  <c r="U802" i="3"/>
  <c r="Y801" i="3"/>
  <c r="T803" i="3" l="1"/>
  <c r="AG803" i="3" s="1"/>
  <c r="D803" i="3" l="1"/>
  <c r="G803" i="3" s="1"/>
  <c r="E803" i="3"/>
  <c r="H803" i="3" s="1"/>
  <c r="K803" i="3" s="1"/>
  <c r="AE803" i="3" s="1"/>
  <c r="AH803" i="3"/>
  <c r="F803" i="3" l="1"/>
  <c r="V803" i="3"/>
  <c r="A804" i="3"/>
  <c r="B804" i="3" s="1"/>
  <c r="I803" i="3"/>
  <c r="J803" i="3"/>
  <c r="M803" i="3"/>
  <c r="N803" i="3" s="1"/>
  <c r="L803" i="3" l="1"/>
  <c r="P804" i="3"/>
  <c r="Q804" i="3" s="1"/>
  <c r="R804" i="3" s="1"/>
  <c r="S804" i="3" s="1"/>
  <c r="Z804" i="3"/>
  <c r="AA804" i="3"/>
  <c r="AC804" i="3"/>
  <c r="W803" i="3"/>
  <c r="U803" i="3" l="1"/>
  <c r="Y802" i="3"/>
  <c r="T804" i="3"/>
  <c r="AG804" i="3" s="1"/>
  <c r="D804" i="3" l="1"/>
  <c r="G804" i="3" s="1"/>
  <c r="AH804" i="3"/>
  <c r="E804" i="3"/>
  <c r="H804" i="3" s="1"/>
  <c r="K804" i="3" s="1"/>
  <c r="AE804" i="3" s="1"/>
  <c r="F804" i="3" l="1"/>
  <c r="V804" i="3"/>
  <c r="A805" i="3"/>
  <c r="B805" i="3" s="1"/>
  <c r="I804" i="3"/>
  <c r="J804" i="3"/>
  <c r="AD804" i="3" s="1"/>
  <c r="M804" i="3"/>
  <c r="N804" i="3" s="1"/>
  <c r="L804" i="3" l="1"/>
  <c r="P805" i="3"/>
  <c r="Q805" i="3" s="1"/>
  <c r="R805" i="3" s="1"/>
  <c r="S805" i="3" s="1"/>
  <c r="Z805" i="3"/>
  <c r="AC805" i="3"/>
  <c r="AD805" i="3"/>
  <c r="AA805" i="3"/>
  <c r="W804" i="3"/>
  <c r="U804" i="3" l="1"/>
  <c r="Y803" i="3"/>
  <c r="T805" i="3"/>
  <c r="E805" i="3" l="1"/>
  <c r="H805" i="3" s="1"/>
  <c r="K805" i="3" s="1"/>
  <c r="AE805" i="3" s="1"/>
  <c r="D805" i="3"/>
  <c r="G805" i="3" s="1"/>
  <c r="AH805" i="3"/>
  <c r="AG805" i="3"/>
  <c r="F805" i="3" l="1"/>
  <c r="I805" i="3"/>
  <c r="J805" i="3"/>
  <c r="M805" i="3"/>
  <c r="N805" i="3" s="1"/>
  <c r="V805" i="3"/>
  <c r="A806" i="3"/>
  <c r="B806" i="3" s="1"/>
  <c r="W805" i="3" l="1"/>
  <c r="Z806" i="3"/>
  <c r="AA806" i="3"/>
  <c r="AD806" i="3"/>
  <c r="AC806" i="3"/>
  <c r="P806" i="3"/>
  <c r="Q806" i="3" s="1"/>
  <c r="R806" i="3" s="1"/>
  <c r="S806" i="3" s="1"/>
  <c r="L805" i="3"/>
  <c r="T806" i="3" l="1"/>
  <c r="AG806" i="3" s="1"/>
  <c r="U805" i="3"/>
  <c r="Y804" i="3"/>
  <c r="D806" i="3" l="1"/>
  <c r="G806" i="3" s="1"/>
  <c r="AH806" i="3"/>
  <c r="E806" i="3"/>
  <c r="H806" i="3" s="1"/>
  <c r="K806" i="3" s="1"/>
  <c r="AE806" i="3" s="1"/>
  <c r="F806" i="3" l="1"/>
  <c r="I806" i="3"/>
  <c r="J806" i="3"/>
  <c r="M806" i="3"/>
  <c r="N806" i="3" s="1"/>
  <c r="V806" i="3"/>
  <c r="A807" i="3"/>
  <c r="B807" i="3" s="1"/>
  <c r="W806" i="3" l="1"/>
  <c r="AC807" i="3"/>
  <c r="AD807" i="3"/>
  <c r="Z807" i="3"/>
  <c r="AA807" i="3"/>
  <c r="P807" i="3"/>
  <c r="Q807" i="3" s="1"/>
  <c r="R807" i="3" s="1"/>
  <c r="S807" i="3" s="1"/>
  <c r="L806" i="3"/>
  <c r="T807" i="3" l="1"/>
  <c r="AG807" i="3" s="1"/>
  <c r="U806" i="3"/>
  <c r="Y805" i="3"/>
  <c r="E807" i="3" l="1"/>
  <c r="H807" i="3" s="1"/>
  <c r="K807" i="3" s="1"/>
  <c r="AE807" i="3" s="1"/>
  <c r="AH807" i="3"/>
  <c r="D807" i="3"/>
  <c r="F807" i="3" l="1"/>
  <c r="G807" i="3"/>
  <c r="I807" i="3" s="1"/>
  <c r="V807" i="3"/>
  <c r="A808" i="3"/>
  <c r="B808" i="3" s="1"/>
  <c r="M807" i="3" l="1"/>
  <c r="N807" i="3" s="1"/>
  <c r="J807" i="3"/>
  <c r="L807" i="3" s="1"/>
  <c r="AA808" i="3"/>
  <c r="AC808" i="3"/>
  <c r="Z808" i="3"/>
  <c r="AD808" i="3"/>
  <c r="P808" i="3"/>
  <c r="Q808" i="3" s="1"/>
  <c r="R808" i="3" s="1"/>
  <c r="S808" i="3" s="1"/>
  <c r="W807" i="3"/>
  <c r="T808" i="3" l="1"/>
  <c r="AH808" i="3" s="1"/>
  <c r="U807" i="3"/>
  <c r="Y806" i="3"/>
  <c r="AG808" i="3" l="1"/>
  <c r="D808" i="3"/>
  <c r="G808" i="3" s="1"/>
  <c r="E808" i="3"/>
  <c r="H808" i="3" s="1"/>
  <c r="K808" i="3" s="1"/>
  <c r="AE808" i="3" s="1"/>
  <c r="F808" i="3" l="1"/>
  <c r="V808" i="3"/>
  <c r="A809" i="3"/>
  <c r="B809" i="3" s="1"/>
  <c r="I808" i="3"/>
  <c r="J808" i="3"/>
  <c r="M808" i="3"/>
  <c r="N808" i="3" s="1"/>
  <c r="L808" i="3" l="1"/>
  <c r="AD809" i="3"/>
  <c r="AC809" i="3"/>
  <c r="Z809" i="3"/>
  <c r="AA809" i="3"/>
  <c r="P809" i="3"/>
  <c r="Q809" i="3" s="1"/>
  <c r="R809" i="3" s="1"/>
  <c r="S809" i="3" s="1"/>
  <c r="W808" i="3"/>
  <c r="T809" i="3" l="1"/>
  <c r="AH809" i="3" s="1"/>
  <c r="U808" i="3"/>
  <c r="Y807" i="3"/>
  <c r="D809" i="3" l="1"/>
  <c r="G809" i="3" s="1"/>
  <c r="AG809" i="3"/>
  <c r="E809" i="3"/>
  <c r="H809" i="3" s="1"/>
  <c r="K809" i="3" s="1"/>
  <c r="AE809" i="3" s="1"/>
  <c r="F809" i="3" l="1"/>
  <c r="V809" i="3"/>
  <c r="A810" i="3"/>
  <c r="B810" i="3" s="1"/>
  <c r="I809" i="3"/>
  <c r="J809" i="3"/>
  <c r="M809" i="3"/>
  <c r="N809" i="3" s="1"/>
  <c r="L809" i="3" l="1"/>
  <c r="P810" i="3"/>
  <c r="Q810" i="3" s="1"/>
  <c r="R810" i="3" s="1"/>
  <c r="S810" i="3" s="1"/>
  <c r="Z810" i="3"/>
  <c r="AA810" i="3"/>
  <c r="AC810" i="3"/>
  <c r="AD810" i="3"/>
  <c r="W809" i="3"/>
  <c r="T810" i="3" l="1"/>
  <c r="AH810" i="3" s="1"/>
  <c r="U809" i="3"/>
  <c r="Y808" i="3"/>
  <c r="D810" i="3" l="1"/>
  <c r="G810" i="3" s="1"/>
  <c r="AG810" i="3"/>
  <c r="E810" i="3"/>
  <c r="H810" i="3" s="1"/>
  <c r="K810" i="3" s="1"/>
  <c r="AE810" i="3" s="1"/>
  <c r="F810" i="3" l="1"/>
  <c r="V810" i="3"/>
  <c r="A811" i="3"/>
  <c r="B811" i="3" s="1"/>
  <c r="I810" i="3"/>
  <c r="J810" i="3"/>
  <c r="M810" i="3"/>
  <c r="N810" i="3" s="1"/>
  <c r="L810" i="3" l="1"/>
  <c r="P811" i="3"/>
  <c r="Q811" i="3" s="1"/>
  <c r="R811" i="3" s="1"/>
  <c r="S811" i="3" s="1"/>
  <c r="AA811" i="3"/>
  <c r="AC811" i="3"/>
  <c r="AD811" i="3"/>
  <c r="Z811" i="3"/>
  <c r="W810" i="3"/>
  <c r="T811" i="3" l="1"/>
  <c r="AH811" i="3" s="1"/>
  <c r="U810" i="3"/>
  <c r="Y809" i="3"/>
  <c r="AG811" i="3" l="1"/>
  <c r="D811" i="3"/>
  <c r="E811" i="3"/>
  <c r="H811" i="3" s="1"/>
  <c r="K811" i="3" s="1"/>
  <c r="AE811" i="3" s="1"/>
  <c r="F811" i="3" l="1"/>
  <c r="G811" i="3"/>
  <c r="I811" i="3" s="1"/>
  <c r="V811" i="3"/>
  <c r="A812" i="3"/>
  <c r="B812" i="3" s="1"/>
  <c r="M811" i="3" l="1"/>
  <c r="N811" i="3" s="1"/>
  <c r="J811" i="3"/>
  <c r="L811" i="3" s="1"/>
  <c r="W811" i="3"/>
  <c r="AD812" i="3"/>
  <c r="AA812" i="3"/>
  <c r="Z812" i="3"/>
  <c r="P812" i="3"/>
  <c r="Q812" i="3" s="1"/>
  <c r="R812" i="3" s="1"/>
  <c r="S812" i="3" s="1"/>
  <c r="AC812" i="3"/>
  <c r="T812" i="3" l="1"/>
  <c r="AG812" i="3" s="1"/>
  <c r="U811" i="3"/>
  <c r="Y810" i="3"/>
  <c r="AH812" i="3" l="1"/>
  <c r="D812" i="3"/>
  <c r="G812" i="3" s="1"/>
  <c r="E812" i="3"/>
  <c r="H812" i="3" s="1"/>
  <c r="K812" i="3" s="1"/>
  <c r="AE812" i="3" s="1"/>
  <c r="F812" i="3" l="1"/>
  <c r="I812" i="3"/>
  <c r="J812" i="3"/>
  <c r="M812" i="3"/>
  <c r="N812" i="3" s="1"/>
  <c r="V812" i="3"/>
  <c r="A813" i="3"/>
  <c r="B813" i="3" s="1"/>
  <c r="W812" i="3" l="1"/>
  <c r="AA813" i="3"/>
  <c r="Z813" i="3"/>
  <c r="AC813" i="3"/>
  <c r="AD813" i="3"/>
  <c r="P813" i="3"/>
  <c r="Q813" i="3" s="1"/>
  <c r="R813" i="3" s="1"/>
  <c r="S813" i="3" s="1"/>
  <c r="L812" i="3"/>
  <c r="T813" i="3" l="1"/>
  <c r="AG813" i="3" s="1"/>
  <c r="U812" i="3"/>
  <c r="Y811" i="3"/>
  <c r="AH813" i="3" l="1"/>
  <c r="D813" i="3"/>
  <c r="G813" i="3" s="1"/>
  <c r="E813" i="3"/>
  <c r="H813" i="3" s="1"/>
  <c r="K813" i="3" l="1"/>
  <c r="AE813" i="3" s="1"/>
  <c r="I813" i="3"/>
  <c r="J813" i="3"/>
  <c r="M813" i="3"/>
  <c r="N813" i="3" s="1"/>
  <c r="F813" i="3"/>
  <c r="L813" i="3" l="1"/>
  <c r="V813" i="3"/>
  <c r="W813" i="3" s="1"/>
  <c r="A814" i="3"/>
  <c r="B814" i="3" s="1"/>
  <c r="AA814" i="3" l="1"/>
  <c r="AC814" i="3"/>
  <c r="Z814" i="3"/>
  <c r="P814" i="3"/>
  <c r="Q814" i="3" s="1"/>
  <c r="R814" i="3" s="1"/>
  <c r="S814" i="3" s="1"/>
  <c r="U813" i="3"/>
  <c r="Y812" i="3"/>
  <c r="T814" i="3" l="1"/>
  <c r="AH814" i="3" s="1"/>
  <c r="E814" i="3" l="1"/>
  <c r="H814" i="3" s="1"/>
  <c r="K814" i="3" s="1"/>
  <c r="AE814" i="3" s="1"/>
  <c r="D814" i="3"/>
  <c r="G814" i="3" s="1"/>
  <c r="AG814" i="3"/>
  <c r="F814" i="3" l="1"/>
  <c r="I814" i="3"/>
  <c r="J814" i="3"/>
  <c r="AD814" i="3" s="1"/>
  <c r="M814" i="3"/>
  <c r="N814" i="3" s="1"/>
  <c r="V814" i="3"/>
  <c r="A815" i="3"/>
  <c r="B815" i="3" s="1"/>
  <c r="W814" i="3" l="1"/>
  <c r="Z815" i="3"/>
  <c r="AA815" i="3"/>
  <c r="P815" i="3"/>
  <c r="Q815" i="3" s="1"/>
  <c r="R815" i="3" s="1"/>
  <c r="S815" i="3" s="1"/>
  <c r="AC815" i="3"/>
  <c r="L814" i="3"/>
  <c r="U814" i="3" l="1"/>
  <c r="Y813" i="3"/>
  <c r="T815" i="3"/>
  <c r="D815" i="3" l="1"/>
  <c r="G815" i="3" s="1"/>
  <c r="AG815" i="3"/>
  <c r="E815" i="3"/>
  <c r="H815" i="3" s="1"/>
  <c r="K815" i="3" s="1"/>
  <c r="AE815" i="3" s="1"/>
  <c r="AH815" i="3"/>
  <c r="F815" i="3" l="1"/>
  <c r="V815" i="3"/>
  <c r="A816" i="3"/>
  <c r="B816" i="3" s="1"/>
  <c r="I815" i="3"/>
  <c r="J815" i="3"/>
  <c r="AD815" i="3" s="1"/>
  <c r="M815" i="3"/>
  <c r="N815" i="3" s="1"/>
  <c r="L815" i="3" l="1"/>
  <c r="W815" i="3"/>
  <c r="P816" i="3"/>
  <c r="Q816" i="3" s="1"/>
  <c r="R816" i="3" s="1"/>
  <c r="S816" i="3" s="1"/>
  <c r="Z816" i="3"/>
  <c r="AA816" i="3"/>
  <c r="AC816" i="3"/>
  <c r="T816" i="3" l="1"/>
  <c r="AG816" i="3" s="1"/>
  <c r="U815" i="3"/>
  <c r="Y814" i="3"/>
  <c r="E816" i="3" l="1"/>
  <c r="H816" i="3" s="1"/>
  <c r="K816" i="3" s="1"/>
  <c r="AE816" i="3" s="1"/>
  <c r="D816" i="3"/>
  <c r="AH816" i="3"/>
  <c r="F816" i="3" l="1"/>
  <c r="G816" i="3"/>
  <c r="J816" i="3" s="1"/>
  <c r="AD816" i="3" s="1"/>
  <c r="V816" i="3"/>
  <c r="A817" i="3"/>
  <c r="B817" i="3" s="1"/>
  <c r="I816" i="3" l="1"/>
  <c r="W816" i="3" s="1"/>
  <c r="M816" i="3"/>
  <c r="N816" i="3" s="1"/>
  <c r="AA817" i="3"/>
  <c r="AC817" i="3"/>
  <c r="P817" i="3"/>
  <c r="Q817" i="3" s="1"/>
  <c r="R817" i="3" s="1"/>
  <c r="S817" i="3" s="1"/>
  <c r="Z817" i="3"/>
  <c r="L816" i="3"/>
  <c r="T817" i="3" l="1"/>
  <c r="AG817" i="3" s="1"/>
  <c r="U816" i="3"/>
  <c r="Y815" i="3"/>
  <c r="AH817" i="3" l="1"/>
  <c r="D817" i="3"/>
  <c r="G817" i="3" s="1"/>
  <c r="E817" i="3"/>
  <c r="H817" i="3" s="1"/>
  <c r="K817" i="3" s="1"/>
  <c r="AE817" i="3" s="1"/>
  <c r="F817" i="3" l="1"/>
  <c r="V817" i="3"/>
  <c r="A818" i="3"/>
  <c r="B818" i="3" s="1"/>
  <c r="I817" i="3"/>
  <c r="J817" i="3"/>
  <c r="AD817" i="3" s="1"/>
  <c r="M817" i="3"/>
  <c r="N817" i="3" s="1"/>
  <c r="L817" i="3" l="1"/>
  <c r="Z818" i="3"/>
  <c r="AA818" i="3"/>
  <c r="AC818" i="3"/>
  <c r="P818" i="3"/>
  <c r="Q818" i="3" s="1"/>
  <c r="R818" i="3" s="1"/>
  <c r="S818" i="3" s="1"/>
  <c r="W817" i="3"/>
  <c r="T818" i="3" l="1"/>
  <c r="AG818" i="3" s="1"/>
  <c r="U817" i="3"/>
  <c r="Y816" i="3"/>
  <c r="E818" i="3" l="1"/>
  <c r="H818" i="3" s="1"/>
  <c r="K818" i="3" s="1"/>
  <c r="AE818" i="3" s="1"/>
  <c r="AH818" i="3"/>
  <c r="D818" i="3"/>
  <c r="F818" i="3" l="1"/>
  <c r="G818" i="3"/>
  <c r="J818" i="3" s="1"/>
  <c r="AD818" i="3" s="1"/>
  <c r="V818" i="3"/>
  <c r="A819" i="3"/>
  <c r="B819" i="3" s="1"/>
  <c r="I818" i="3" l="1"/>
  <c r="W818" i="3" s="1"/>
  <c r="M818" i="3"/>
  <c r="N818" i="3" s="1"/>
  <c r="L818" i="3"/>
  <c r="Z819" i="3"/>
  <c r="AA819" i="3"/>
  <c r="P819" i="3"/>
  <c r="Q819" i="3" s="1"/>
  <c r="R819" i="3" s="1"/>
  <c r="S819" i="3" s="1"/>
  <c r="AC819" i="3"/>
  <c r="U818" i="3" l="1"/>
  <c r="Y817" i="3"/>
  <c r="T819" i="3"/>
  <c r="D819" i="3" l="1"/>
  <c r="G819" i="3" s="1"/>
  <c r="E819" i="3"/>
  <c r="H819" i="3" s="1"/>
  <c r="AG819" i="3"/>
  <c r="AH819" i="3"/>
  <c r="K819" i="3" l="1"/>
  <c r="AE819" i="3" s="1"/>
  <c r="I819" i="3"/>
  <c r="J819" i="3"/>
  <c r="AD819" i="3" s="1"/>
  <c r="M819" i="3"/>
  <c r="N819" i="3" s="1"/>
  <c r="F819" i="3"/>
  <c r="L819" i="3" l="1"/>
  <c r="V819" i="3"/>
  <c r="W819" i="3" s="1"/>
  <c r="A820" i="3"/>
  <c r="B820" i="3" s="1"/>
  <c r="Z820" i="3" l="1"/>
  <c r="AA820" i="3"/>
  <c r="AC820" i="3"/>
  <c r="P820" i="3"/>
  <c r="Q820" i="3" s="1"/>
  <c r="R820" i="3" s="1"/>
  <c r="S820" i="3" s="1"/>
  <c r="U819" i="3"/>
  <c r="Y818" i="3"/>
  <c r="T820" i="3" l="1"/>
  <c r="AG820" i="3" s="1"/>
  <c r="D820" i="3" l="1"/>
  <c r="G820" i="3" s="1"/>
  <c r="E820" i="3"/>
  <c r="H820" i="3" s="1"/>
  <c r="K820" i="3" s="1"/>
  <c r="AE820" i="3" s="1"/>
  <c r="AH820" i="3"/>
  <c r="F820" i="3" l="1"/>
  <c r="I820" i="3"/>
  <c r="J820" i="3"/>
  <c r="AD820" i="3" s="1"/>
  <c r="M820" i="3"/>
  <c r="N820" i="3" s="1"/>
  <c r="V820" i="3"/>
  <c r="W820" i="3" s="1"/>
  <c r="A821" i="3"/>
  <c r="B821" i="3" s="1"/>
  <c r="L820" i="3" l="1"/>
  <c r="P821" i="3"/>
  <c r="Q821" i="3" s="1"/>
  <c r="R821" i="3" s="1"/>
  <c r="S821" i="3" s="1"/>
  <c r="AA821" i="3"/>
  <c r="AC821" i="3"/>
  <c r="Z821" i="3"/>
  <c r="T821" i="3" l="1"/>
  <c r="AH821" i="3" s="1"/>
  <c r="U820" i="3"/>
  <c r="Y819" i="3"/>
  <c r="D821" i="3" l="1"/>
  <c r="G821" i="3" s="1"/>
  <c r="AG821" i="3"/>
  <c r="E821" i="3"/>
  <c r="H821" i="3" s="1"/>
  <c r="K821" i="3" l="1"/>
  <c r="AE821" i="3" s="1"/>
  <c r="I821" i="3"/>
  <c r="J821" i="3"/>
  <c r="AD821" i="3" s="1"/>
  <c r="M821" i="3"/>
  <c r="N821" i="3" s="1"/>
  <c r="F821" i="3"/>
  <c r="L821" i="3" l="1"/>
  <c r="V821" i="3"/>
  <c r="W821" i="3" s="1"/>
  <c r="A822" i="3"/>
  <c r="B822" i="3" s="1"/>
  <c r="P822" i="3" l="1"/>
  <c r="Q822" i="3" s="1"/>
  <c r="R822" i="3" s="1"/>
  <c r="S822" i="3" s="1"/>
  <c r="AA822" i="3"/>
  <c r="Z822" i="3"/>
  <c r="AC822" i="3"/>
  <c r="U821" i="3"/>
  <c r="Y820" i="3"/>
  <c r="T822" i="3" l="1"/>
  <c r="AH822" i="3" s="1"/>
  <c r="AG822" i="3" l="1"/>
  <c r="D822" i="3"/>
  <c r="E822" i="3"/>
  <c r="H822" i="3" s="1"/>
  <c r="K822" i="3" l="1"/>
  <c r="AE822" i="3" s="1"/>
  <c r="F822" i="3"/>
  <c r="G822" i="3"/>
  <c r="I822" i="3" l="1"/>
  <c r="J822" i="3"/>
  <c r="AD822" i="3" s="1"/>
  <c r="M822" i="3"/>
  <c r="N822" i="3" s="1"/>
  <c r="V822" i="3"/>
  <c r="A823" i="3"/>
  <c r="B823" i="3" s="1"/>
  <c r="W822" i="3" l="1"/>
  <c r="AA823" i="3"/>
  <c r="Z823" i="3"/>
  <c r="P823" i="3"/>
  <c r="Q823" i="3" s="1"/>
  <c r="R823" i="3" s="1"/>
  <c r="S823" i="3" s="1"/>
  <c r="AC823" i="3"/>
  <c r="L822" i="3"/>
  <c r="T823" i="3" l="1"/>
  <c r="AH823" i="3" s="1"/>
  <c r="U822" i="3"/>
  <c r="Y821" i="3"/>
  <c r="AG823" i="3" l="1"/>
  <c r="E823" i="3"/>
  <c r="H823" i="3" s="1"/>
  <c r="K823" i="3" s="1"/>
  <c r="AE823" i="3" s="1"/>
  <c r="D823" i="3"/>
  <c r="F823" i="3" l="1"/>
  <c r="G823" i="3"/>
  <c r="I823" i="3" s="1"/>
  <c r="V823" i="3"/>
  <c r="A824" i="3"/>
  <c r="B824" i="3" s="1"/>
  <c r="J823" i="3" l="1"/>
  <c r="AD823" i="3" s="1"/>
  <c r="M823" i="3"/>
  <c r="N823" i="3" s="1"/>
  <c r="P824" i="3"/>
  <c r="Q824" i="3" s="1"/>
  <c r="R824" i="3" s="1"/>
  <c r="S824" i="3" s="1"/>
  <c r="AA824" i="3"/>
  <c r="Z824" i="3"/>
  <c r="AC824" i="3"/>
  <c r="W823" i="3"/>
  <c r="L823" i="3" l="1"/>
  <c r="U823" i="3" s="1"/>
  <c r="T824" i="3"/>
  <c r="Y822" i="3" l="1"/>
  <c r="D824" i="3"/>
  <c r="G824" i="3" s="1"/>
  <c r="AH824" i="3"/>
  <c r="E824" i="3"/>
  <c r="H824" i="3" s="1"/>
  <c r="AG824" i="3"/>
  <c r="K824" i="3" l="1"/>
  <c r="AE824" i="3" s="1"/>
  <c r="I824" i="3"/>
  <c r="J824" i="3"/>
  <c r="AD824" i="3" s="1"/>
  <c r="M824" i="3"/>
  <c r="N824" i="3" s="1"/>
  <c r="F824" i="3"/>
  <c r="L824" i="3" l="1"/>
  <c r="V824" i="3"/>
  <c r="W824" i="3" s="1"/>
  <c r="A825" i="3"/>
  <c r="B825" i="3" s="1"/>
  <c r="Z825" i="3" l="1"/>
  <c r="AA825" i="3"/>
  <c r="AD825" i="3"/>
  <c r="P825" i="3"/>
  <c r="Q825" i="3" s="1"/>
  <c r="R825" i="3" s="1"/>
  <c r="S825" i="3" s="1"/>
  <c r="AC825" i="3"/>
  <c r="U824" i="3"/>
  <c r="Y823" i="3"/>
  <c r="T825" i="3" l="1"/>
  <c r="E825" i="3" s="1"/>
  <c r="H825" i="3" s="1"/>
  <c r="D825" i="3" l="1"/>
  <c r="G825" i="3" s="1"/>
  <c r="AH825" i="3"/>
  <c r="AG825" i="3"/>
  <c r="K825" i="3"/>
  <c r="AE825" i="3" s="1"/>
  <c r="F825" i="3" l="1"/>
  <c r="V825" i="3"/>
  <c r="A826" i="3"/>
  <c r="B826" i="3" s="1"/>
  <c r="I825" i="3"/>
  <c r="J825" i="3"/>
  <c r="M825" i="3"/>
  <c r="N825" i="3" s="1"/>
  <c r="L825" i="3" l="1"/>
  <c r="AC826" i="3"/>
  <c r="P826" i="3"/>
  <c r="Q826" i="3" s="1"/>
  <c r="R826" i="3" s="1"/>
  <c r="S826" i="3" s="1"/>
  <c r="AD826" i="3"/>
  <c r="AA826" i="3"/>
  <c r="Z826" i="3"/>
  <c r="W825" i="3"/>
  <c r="T826" i="3" l="1"/>
  <c r="AH826" i="3" s="1"/>
  <c r="U825" i="3"/>
  <c r="Y824" i="3"/>
  <c r="D826" i="3" l="1"/>
  <c r="G826" i="3" s="1"/>
  <c r="AG826" i="3"/>
  <c r="E826" i="3"/>
  <c r="H826" i="3" s="1"/>
  <c r="K826" i="3" s="1"/>
  <c r="AE826" i="3" s="1"/>
  <c r="F826" i="3" l="1"/>
  <c r="I826" i="3"/>
  <c r="J826" i="3"/>
  <c r="M826" i="3"/>
  <c r="N826" i="3" s="1"/>
  <c r="V826" i="3"/>
  <c r="A827" i="3"/>
  <c r="B827" i="3" s="1"/>
  <c r="W826" i="3" l="1"/>
  <c r="Z827" i="3"/>
  <c r="AC827" i="3"/>
  <c r="AA827" i="3"/>
  <c r="AD827" i="3"/>
  <c r="P827" i="3"/>
  <c r="Q827" i="3" s="1"/>
  <c r="R827" i="3" s="1"/>
  <c r="S827" i="3" s="1"/>
  <c r="L826" i="3"/>
  <c r="T827" i="3" l="1"/>
  <c r="AH827" i="3" s="1"/>
  <c r="U826" i="3"/>
  <c r="Y825" i="3"/>
  <c r="E827" i="3" l="1"/>
  <c r="H827" i="3" s="1"/>
  <c r="K827" i="3" s="1"/>
  <c r="AE827" i="3" s="1"/>
  <c r="AG827" i="3"/>
  <c r="D827" i="3"/>
  <c r="G827" i="3" s="1"/>
  <c r="F827" i="3" l="1"/>
  <c r="I827" i="3"/>
  <c r="J827" i="3"/>
  <c r="M827" i="3"/>
  <c r="N827" i="3" s="1"/>
  <c r="V827" i="3"/>
  <c r="A828" i="3"/>
  <c r="B828" i="3" s="1"/>
  <c r="W827" i="3" l="1"/>
  <c r="AC828" i="3"/>
  <c r="Z828" i="3"/>
  <c r="AD828" i="3"/>
  <c r="P828" i="3"/>
  <c r="Q828" i="3" s="1"/>
  <c r="R828" i="3" s="1"/>
  <c r="S828" i="3" s="1"/>
  <c r="AA828" i="3"/>
  <c r="L827" i="3"/>
  <c r="T828" i="3" l="1"/>
  <c r="AH828" i="3" s="1"/>
  <c r="U827" i="3"/>
  <c r="Y826" i="3"/>
  <c r="AG828" i="3" l="1"/>
  <c r="E828" i="3"/>
  <c r="H828" i="3" s="1"/>
  <c r="K828" i="3" s="1"/>
  <c r="AE828" i="3" s="1"/>
  <c r="D828" i="3"/>
  <c r="F828" i="3" l="1"/>
  <c r="G828" i="3"/>
  <c r="M828" i="3" s="1"/>
  <c r="N828" i="3" s="1"/>
  <c r="V828" i="3"/>
  <c r="A829" i="3"/>
  <c r="B829" i="3" s="1"/>
  <c r="J828" i="3" l="1"/>
  <c r="L828" i="3" s="1"/>
  <c r="I828" i="3"/>
  <c r="W828" i="3" s="1"/>
  <c r="AD829" i="3"/>
  <c r="P829" i="3"/>
  <c r="Q829" i="3" s="1"/>
  <c r="R829" i="3" s="1"/>
  <c r="S829" i="3" s="1"/>
  <c r="AA829" i="3"/>
  <c r="Z829" i="3"/>
  <c r="AC829" i="3"/>
  <c r="U828" i="3" l="1"/>
  <c r="Y827" i="3"/>
  <c r="T829" i="3"/>
  <c r="AH829" i="3" s="1"/>
  <c r="D829" i="3" l="1"/>
  <c r="E829" i="3"/>
  <c r="H829" i="3" s="1"/>
  <c r="AG829" i="3"/>
  <c r="K829" i="3" l="1"/>
  <c r="AE829" i="3" s="1"/>
  <c r="F829" i="3"/>
  <c r="G829" i="3"/>
  <c r="I829" i="3" l="1"/>
  <c r="J829" i="3"/>
  <c r="M829" i="3"/>
  <c r="N829" i="3" s="1"/>
  <c r="V829" i="3"/>
  <c r="A830" i="3"/>
  <c r="B830" i="3" s="1"/>
  <c r="W829" i="3" l="1"/>
  <c r="AC830" i="3"/>
  <c r="AA830" i="3"/>
  <c r="Z830" i="3"/>
  <c r="P830" i="3"/>
  <c r="Q830" i="3" s="1"/>
  <c r="R830" i="3" s="1"/>
  <c r="S830" i="3" s="1"/>
  <c r="AD830" i="3"/>
  <c r="L829" i="3"/>
  <c r="T830" i="3" l="1"/>
  <c r="AG830" i="3" s="1"/>
  <c r="U829" i="3"/>
  <c r="Y828" i="3"/>
  <c r="D830" i="3" l="1"/>
  <c r="G830" i="3" s="1"/>
  <c r="AH830" i="3"/>
  <c r="E830" i="3"/>
  <c r="H830" i="3" s="1"/>
  <c r="K830" i="3" s="1"/>
  <c r="AE830" i="3" s="1"/>
  <c r="F830" i="3" l="1"/>
  <c r="V830" i="3"/>
  <c r="A831" i="3"/>
  <c r="B831" i="3" s="1"/>
  <c r="I830" i="3"/>
  <c r="J830" i="3"/>
  <c r="M830" i="3"/>
  <c r="N830" i="3" s="1"/>
  <c r="P831" i="3" l="1"/>
  <c r="Q831" i="3" s="1"/>
  <c r="R831" i="3" s="1"/>
  <c r="S831" i="3" s="1"/>
  <c r="AA831" i="3"/>
  <c r="AD831" i="3"/>
  <c r="AC831" i="3"/>
  <c r="Z831" i="3"/>
  <c r="L830" i="3"/>
  <c r="W830" i="3"/>
  <c r="U830" i="3" l="1"/>
  <c r="Y829" i="3"/>
  <c r="T831" i="3"/>
  <c r="AH831" i="3" s="1"/>
  <c r="E831" i="3" l="1"/>
  <c r="H831" i="3" s="1"/>
  <c r="K831" i="3" s="1"/>
  <c r="AE831" i="3" s="1"/>
  <c r="AG831" i="3"/>
  <c r="D831" i="3"/>
  <c r="F831" i="3" l="1"/>
  <c r="G831" i="3"/>
  <c r="V831" i="3"/>
  <c r="A832" i="3"/>
  <c r="B832" i="3" s="1"/>
  <c r="P832" i="3" l="1"/>
  <c r="Q832" i="3" s="1"/>
  <c r="R832" i="3" s="1"/>
  <c r="S832" i="3" s="1"/>
  <c r="AC832" i="3"/>
  <c r="AD832" i="3"/>
  <c r="Z832" i="3"/>
  <c r="AA832" i="3"/>
  <c r="I831" i="3"/>
  <c r="W831" i="3" s="1"/>
  <c r="J831" i="3"/>
  <c r="M831" i="3"/>
  <c r="N831" i="3" s="1"/>
  <c r="L831" i="3" l="1"/>
  <c r="T832" i="3"/>
  <c r="AH832" i="3" l="1"/>
  <c r="U831" i="3"/>
  <c r="E832" i="3" s="1"/>
  <c r="H832" i="3" s="1"/>
  <c r="AG832" i="3"/>
  <c r="Y830" i="3"/>
  <c r="K832" i="3" l="1"/>
  <c r="AE832" i="3" s="1"/>
  <c r="D832" i="3"/>
  <c r="F832" i="3" l="1"/>
  <c r="G832" i="3"/>
  <c r="V832" i="3"/>
  <c r="A833" i="3"/>
  <c r="B833" i="3" s="1"/>
  <c r="AD833" i="3" l="1"/>
  <c r="AC833" i="3"/>
  <c r="P833" i="3"/>
  <c r="Q833" i="3" s="1"/>
  <c r="R833" i="3" s="1"/>
  <c r="S833" i="3" s="1"/>
  <c r="Z833" i="3"/>
  <c r="AA833" i="3"/>
  <c r="I832" i="3"/>
  <c r="W832" i="3" s="1"/>
  <c r="J832" i="3"/>
  <c r="M832" i="3"/>
  <c r="N832" i="3" s="1"/>
  <c r="T833" i="3" l="1"/>
  <c r="L832" i="3"/>
  <c r="AH833" i="3" l="1"/>
  <c r="AG833" i="3"/>
  <c r="U832" i="3"/>
  <c r="E833" i="3" s="1"/>
  <c r="H833" i="3" s="1"/>
  <c r="Y831" i="3"/>
  <c r="D833" i="3" l="1"/>
  <c r="F833" i="3" s="1"/>
  <c r="K833" i="3"/>
  <c r="AE833" i="3" s="1"/>
  <c r="G833" i="3" l="1"/>
  <c r="I833" i="3" s="1"/>
  <c r="V833" i="3"/>
  <c r="A834" i="3"/>
  <c r="B834" i="3" s="1"/>
  <c r="M833" i="3" l="1"/>
  <c r="N833" i="3" s="1"/>
  <c r="J833" i="3"/>
  <c r="L833" i="3" s="1"/>
  <c r="W833" i="3"/>
  <c r="AA834" i="3"/>
  <c r="P834" i="3"/>
  <c r="Q834" i="3" s="1"/>
  <c r="R834" i="3" s="1"/>
  <c r="S834" i="3" s="1"/>
  <c r="Z834" i="3"/>
  <c r="AC834" i="3"/>
  <c r="U833" i="3" l="1"/>
  <c r="Y832" i="3"/>
  <c r="T834" i="3"/>
  <c r="AG834" i="3" s="1"/>
  <c r="E834" i="3" l="1"/>
  <c r="H834" i="3" s="1"/>
  <c r="K834" i="3" s="1"/>
  <c r="AE834" i="3" s="1"/>
  <c r="AH834" i="3"/>
  <c r="D834" i="3"/>
  <c r="F834" i="3" l="1"/>
  <c r="G834" i="3"/>
  <c r="I834" i="3" s="1"/>
  <c r="V834" i="3"/>
  <c r="A835" i="3"/>
  <c r="B835" i="3" s="1"/>
  <c r="M834" i="3" l="1"/>
  <c r="N834" i="3" s="1"/>
  <c r="W834" i="3"/>
  <c r="J834" i="3"/>
  <c r="AD834" i="3" s="1"/>
  <c r="AC835" i="3"/>
  <c r="Z835" i="3"/>
  <c r="AA835" i="3"/>
  <c r="P835" i="3"/>
  <c r="Q835" i="3" s="1"/>
  <c r="R835" i="3" s="1"/>
  <c r="S835" i="3" s="1"/>
  <c r="L834" i="3" l="1"/>
  <c r="U834" i="3" s="1"/>
  <c r="T835" i="3"/>
  <c r="Y833" i="3" l="1"/>
  <c r="AG835" i="3"/>
  <c r="AH835" i="3"/>
  <c r="D835" i="3"/>
  <c r="G835" i="3" s="1"/>
  <c r="E835" i="3"/>
  <c r="H835" i="3" s="1"/>
  <c r="K835" i="3" s="1"/>
  <c r="AE835" i="3" s="1"/>
  <c r="F835" i="3" l="1"/>
  <c r="I835" i="3"/>
  <c r="J835" i="3"/>
  <c r="AD835" i="3" s="1"/>
  <c r="M835" i="3"/>
  <c r="N835" i="3" s="1"/>
  <c r="V835" i="3"/>
  <c r="W835" i="3" s="1"/>
  <c r="A836" i="3"/>
  <c r="B836" i="3" s="1"/>
  <c r="AA836" i="3" l="1"/>
  <c r="Z836" i="3"/>
  <c r="AC836" i="3"/>
  <c r="P836" i="3"/>
  <c r="Q836" i="3" s="1"/>
  <c r="R836" i="3" s="1"/>
  <c r="S836" i="3" s="1"/>
  <c r="L835" i="3"/>
  <c r="T836" i="3" l="1"/>
  <c r="AH836" i="3" s="1"/>
  <c r="U835" i="3"/>
  <c r="Y834" i="3"/>
  <c r="E836" i="3" l="1"/>
  <c r="H836" i="3" s="1"/>
  <c r="K836" i="3" s="1"/>
  <c r="AE836" i="3" s="1"/>
  <c r="AG836" i="3"/>
  <c r="D836" i="3"/>
  <c r="F836" i="3" l="1"/>
  <c r="G836" i="3"/>
  <c r="I836" i="3" s="1"/>
  <c r="V836" i="3"/>
  <c r="A837" i="3"/>
  <c r="B837" i="3" s="1"/>
  <c r="M836" i="3" l="1"/>
  <c r="N836" i="3" s="1"/>
  <c r="J836" i="3"/>
  <c r="W836" i="3"/>
  <c r="P837" i="3"/>
  <c r="Q837" i="3" s="1"/>
  <c r="R837" i="3" s="1"/>
  <c r="S837" i="3" s="1"/>
  <c r="Z837" i="3"/>
  <c r="AA837" i="3"/>
  <c r="AC837" i="3"/>
  <c r="L836" i="3" l="1"/>
  <c r="Y835" i="3" s="1"/>
  <c r="AD836" i="3"/>
  <c r="T837" i="3"/>
  <c r="U836" i="3" l="1"/>
  <c r="E837" i="3" s="1"/>
  <c r="H837" i="3" s="1"/>
  <c r="K837" i="3" s="1"/>
  <c r="AE837" i="3" s="1"/>
  <c r="AG837" i="3"/>
  <c r="AH837" i="3"/>
  <c r="D837" i="3" l="1"/>
  <c r="F837" i="3" s="1"/>
  <c r="V837" i="3"/>
  <c r="A838" i="3"/>
  <c r="B838" i="3" s="1"/>
  <c r="G837" i="3" l="1"/>
  <c r="M837" i="3" s="1"/>
  <c r="N837" i="3" s="1"/>
  <c r="Z838" i="3"/>
  <c r="P838" i="3"/>
  <c r="Q838" i="3" s="1"/>
  <c r="R838" i="3" s="1"/>
  <c r="S838" i="3" s="1"/>
  <c r="AC838" i="3"/>
  <c r="AA838" i="3"/>
  <c r="J837" i="3" l="1"/>
  <c r="AD837" i="3" s="1"/>
  <c r="I837" i="3"/>
  <c r="W837" i="3" s="1"/>
  <c r="T838" i="3"/>
  <c r="L837" i="3" l="1"/>
  <c r="AH838" i="3" s="1"/>
  <c r="Y836" i="3" l="1"/>
  <c r="AG838" i="3"/>
  <c r="U837" i="3"/>
  <c r="E838" i="3" s="1"/>
  <c r="H838" i="3" s="1"/>
  <c r="K838" i="3" s="1"/>
  <c r="AE838" i="3" s="1"/>
  <c r="D838" i="3" l="1"/>
  <c r="F838" i="3" s="1"/>
  <c r="V838" i="3"/>
  <c r="A839" i="3"/>
  <c r="B839" i="3" s="1"/>
  <c r="G838" i="3" l="1"/>
  <c r="I838" i="3" s="1"/>
  <c r="W838" i="3" s="1"/>
  <c r="P839" i="3"/>
  <c r="Q839" i="3" s="1"/>
  <c r="R839" i="3" s="1"/>
  <c r="S839" i="3" s="1"/>
  <c r="AA839" i="3"/>
  <c r="Z839" i="3"/>
  <c r="AC839" i="3"/>
  <c r="J838" i="3" l="1"/>
  <c r="L838" i="3" s="1"/>
  <c r="U838" i="3" s="1"/>
  <c r="M838" i="3"/>
  <c r="N838" i="3" s="1"/>
  <c r="AD838" i="3"/>
  <c r="T839" i="3"/>
  <c r="Y837" i="3" l="1"/>
  <c r="D839" i="3"/>
  <c r="G839" i="3" s="1"/>
  <c r="AG839" i="3"/>
  <c r="E839" i="3"/>
  <c r="H839" i="3" s="1"/>
  <c r="K839" i="3" s="1"/>
  <c r="AE839" i="3" s="1"/>
  <c r="AH839" i="3"/>
  <c r="F839" i="3" l="1"/>
  <c r="V839" i="3"/>
  <c r="A840" i="3"/>
  <c r="B840" i="3" s="1"/>
  <c r="I839" i="3"/>
  <c r="J839" i="3"/>
  <c r="AD839" i="3" s="1"/>
  <c r="M839" i="3"/>
  <c r="N839" i="3" s="1"/>
  <c r="L839" i="3" l="1"/>
  <c r="Z840" i="3"/>
  <c r="P840" i="3"/>
  <c r="Q840" i="3" s="1"/>
  <c r="R840" i="3" s="1"/>
  <c r="S840" i="3" s="1"/>
  <c r="AC840" i="3"/>
  <c r="AA840" i="3"/>
  <c r="W839" i="3"/>
  <c r="T840" i="3" l="1"/>
  <c r="AG840" i="3" s="1"/>
  <c r="U839" i="3"/>
  <c r="Y838" i="3"/>
  <c r="E840" i="3" l="1"/>
  <c r="H840" i="3" s="1"/>
  <c r="K840" i="3" s="1"/>
  <c r="AE840" i="3" s="1"/>
  <c r="AH840" i="3"/>
  <c r="D840" i="3"/>
  <c r="F840" i="3" l="1"/>
  <c r="G840" i="3"/>
  <c r="I840" i="3" s="1"/>
  <c r="V840" i="3"/>
  <c r="A841" i="3"/>
  <c r="B841" i="3" s="1"/>
  <c r="M840" i="3" l="1"/>
  <c r="N840" i="3" s="1"/>
  <c r="J840" i="3"/>
  <c r="AD840" i="3" s="1"/>
  <c r="P841" i="3"/>
  <c r="Q841" i="3" s="1"/>
  <c r="R841" i="3" s="1"/>
  <c r="S841" i="3" s="1"/>
  <c r="Z841" i="3"/>
  <c r="AC841" i="3"/>
  <c r="AA841" i="3"/>
  <c r="W840" i="3"/>
  <c r="L840" i="3" l="1"/>
  <c r="U840" i="3" s="1"/>
  <c r="T841" i="3"/>
  <c r="Y839" i="3" l="1"/>
  <c r="AG841" i="3"/>
  <c r="AH841" i="3"/>
  <c r="E841" i="3"/>
  <c r="H841" i="3" s="1"/>
  <c r="K841" i="3" s="1"/>
  <c r="AE841" i="3" s="1"/>
  <c r="D841" i="3"/>
  <c r="G841" i="3" s="1"/>
  <c r="F841" i="3" l="1"/>
  <c r="V841" i="3"/>
  <c r="A842" i="3"/>
  <c r="B842" i="3" s="1"/>
  <c r="I841" i="3"/>
  <c r="J841" i="3"/>
  <c r="AD841" i="3" s="1"/>
  <c r="M841" i="3"/>
  <c r="N841" i="3" s="1"/>
  <c r="L841" i="3" l="1"/>
  <c r="AA842" i="3"/>
  <c r="P842" i="3"/>
  <c r="Q842" i="3" s="1"/>
  <c r="R842" i="3" s="1"/>
  <c r="S842" i="3" s="1"/>
  <c r="Z842" i="3"/>
  <c r="AC842" i="3"/>
  <c r="W841" i="3"/>
  <c r="T842" i="3" l="1"/>
  <c r="AG842" i="3" s="1"/>
  <c r="U841" i="3"/>
  <c r="Y840" i="3"/>
  <c r="D842" i="3" l="1"/>
  <c r="G842" i="3" s="1"/>
  <c r="AH842" i="3"/>
  <c r="E842" i="3"/>
  <c r="H842" i="3" s="1"/>
  <c r="K842" i="3" s="1"/>
  <c r="AE842" i="3" s="1"/>
  <c r="F842" i="3" l="1"/>
  <c r="V842" i="3"/>
  <c r="A843" i="3"/>
  <c r="B843" i="3" s="1"/>
  <c r="I842" i="3"/>
  <c r="J842" i="3"/>
  <c r="AD842" i="3" s="1"/>
  <c r="M842" i="3"/>
  <c r="N842" i="3" s="1"/>
  <c r="L842" i="3" l="1"/>
  <c r="W842" i="3"/>
  <c r="AA843" i="3"/>
  <c r="AC843" i="3"/>
  <c r="Z843" i="3"/>
  <c r="P843" i="3"/>
  <c r="Q843" i="3" s="1"/>
  <c r="R843" i="3" s="1"/>
  <c r="S843" i="3" s="1"/>
  <c r="T843" i="3" l="1"/>
  <c r="AH843" i="3" s="1"/>
  <c r="U842" i="3"/>
  <c r="Y841" i="3"/>
  <c r="D843" i="3" l="1"/>
  <c r="G843" i="3" s="1"/>
  <c r="AG843" i="3"/>
  <c r="E843" i="3"/>
  <c r="H843" i="3" s="1"/>
  <c r="K843" i="3" l="1"/>
  <c r="AE843" i="3" s="1"/>
  <c r="I843" i="3"/>
  <c r="J843" i="3"/>
  <c r="AD843" i="3" s="1"/>
  <c r="M843" i="3"/>
  <c r="N843" i="3" s="1"/>
  <c r="F843" i="3"/>
  <c r="L843" i="3" l="1"/>
  <c r="V843" i="3"/>
  <c r="W843" i="3" s="1"/>
  <c r="A844" i="3"/>
  <c r="B844" i="3" s="1"/>
  <c r="P844" i="3" l="1"/>
  <c r="Q844" i="3" s="1"/>
  <c r="R844" i="3" s="1"/>
  <c r="S844" i="3" s="1"/>
  <c r="Z844" i="3"/>
  <c r="AA844" i="3"/>
  <c r="AC844" i="3"/>
  <c r="U843" i="3"/>
  <c r="Y842" i="3"/>
  <c r="T844" i="3" l="1"/>
  <c r="E844" i="3" l="1"/>
  <c r="H844" i="3" s="1"/>
  <c r="AH844" i="3"/>
  <c r="AG844" i="3"/>
  <c r="D844" i="3"/>
  <c r="F844" i="3" l="1"/>
  <c r="G844" i="3"/>
  <c r="K844" i="3"/>
  <c r="AE844" i="3" s="1"/>
  <c r="V844" i="3" l="1"/>
  <c r="A845" i="3"/>
  <c r="B845" i="3" s="1"/>
  <c r="I844" i="3"/>
  <c r="J844" i="3"/>
  <c r="AD844" i="3" s="1"/>
  <c r="M844" i="3"/>
  <c r="N844" i="3" s="1"/>
  <c r="L844" i="3" l="1"/>
  <c r="AA845" i="3"/>
  <c r="Z845" i="3"/>
  <c r="P845" i="3"/>
  <c r="Q845" i="3" s="1"/>
  <c r="R845" i="3" s="1"/>
  <c r="S845" i="3" s="1"/>
  <c r="AC845" i="3"/>
  <c r="W844" i="3"/>
  <c r="T845" i="3" l="1"/>
  <c r="AG845" i="3" s="1"/>
  <c r="U844" i="3"/>
  <c r="Y843" i="3"/>
  <c r="D845" i="3" l="1"/>
  <c r="G845" i="3" s="1"/>
  <c r="E845" i="3"/>
  <c r="H845" i="3" s="1"/>
  <c r="K845" i="3" s="1"/>
  <c r="AE845" i="3" s="1"/>
  <c r="AH845" i="3"/>
  <c r="F845" i="3" l="1"/>
  <c r="I845" i="3"/>
  <c r="J845" i="3"/>
  <c r="AD845" i="3" s="1"/>
  <c r="M845" i="3"/>
  <c r="N845" i="3" s="1"/>
  <c r="V845" i="3"/>
  <c r="W845" i="3" s="1"/>
  <c r="A846" i="3"/>
  <c r="B846" i="3" s="1"/>
  <c r="AC846" i="3" l="1"/>
  <c r="AA846" i="3"/>
  <c r="P846" i="3"/>
  <c r="Q846" i="3" s="1"/>
  <c r="R846" i="3" s="1"/>
  <c r="S846" i="3" s="1"/>
  <c r="Z846" i="3"/>
  <c r="L845" i="3"/>
  <c r="T846" i="3" l="1"/>
  <c r="AG846" i="3" s="1"/>
  <c r="U845" i="3"/>
  <c r="Y844" i="3"/>
  <c r="AH846" i="3" l="1"/>
  <c r="E846" i="3"/>
  <c r="H846" i="3" s="1"/>
  <c r="K846" i="3" s="1"/>
  <c r="AE846" i="3" s="1"/>
  <c r="D846" i="3"/>
  <c r="F846" i="3" l="1"/>
  <c r="G846" i="3"/>
  <c r="I846" i="3" s="1"/>
  <c r="V846" i="3"/>
  <c r="A847" i="3"/>
  <c r="B847" i="3" s="1"/>
  <c r="M846" i="3" l="1"/>
  <c r="N846" i="3" s="1"/>
  <c r="J846" i="3"/>
  <c r="P847" i="3"/>
  <c r="Q847" i="3" s="1"/>
  <c r="R847" i="3" s="1"/>
  <c r="S847" i="3" s="1"/>
  <c r="Z847" i="3"/>
  <c r="AC847" i="3"/>
  <c r="AA847" i="3"/>
  <c r="W846" i="3"/>
  <c r="L846" i="3" l="1"/>
  <c r="U846" i="3" s="1"/>
  <c r="AD846" i="3"/>
  <c r="T847" i="3"/>
  <c r="Y845" i="3" l="1"/>
  <c r="AG847" i="3"/>
  <c r="D847" i="3"/>
  <c r="G847" i="3" s="1"/>
  <c r="AH847" i="3"/>
  <c r="E847" i="3"/>
  <c r="H847" i="3" s="1"/>
  <c r="K847" i="3" s="1"/>
  <c r="AE847" i="3" s="1"/>
  <c r="F847" i="3" l="1"/>
  <c r="I847" i="3"/>
  <c r="J847" i="3"/>
  <c r="AD847" i="3" s="1"/>
  <c r="M847" i="3"/>
  <c r="N847" i="3" s="1"/>
  <c r="V847" i="3"/>
  <c r="A848" i="3"/>
  <c r="B848" i="3" s="1"/>
  <c r="W847" i="3" l="1"/>
  <c r="AC848" i="3"/>
  <c r="AA848" i="3"/>
  <c r="P848" i="3"/>
  <c r="Q848" i="3" s="1"/>
  <c r="R848" i="3" s="1"/>
  <c r="S848" i="3" s="1"/>
  <c r="Z848" i="3"/>
  <c r="L847" i="3"/>
  <c r="T848" i="3" l="1"/>
  <c r="AG848" i="3" s="1"/>
  <c r="U847" i="3"/>
  <c r="Y846" i="3"/>
  <c r="D848" i="3" l="1"/>
  <c r="G848" i="3" s="1"/>
  <c r="AH848" i="3"/>
  <c r="E848" i="3"/>
  <c r="H848" i="3" s="1"/>
  <c r="K848" i="3" s="1"/>
  <c r="AE848" i="3" s="1"/>
  <c r="F848" i="3" l="1"/>
  <c r="V848" i="3"/>
  <c r="A849" i="3"/>
  <c r="B849" i="3" s="1"/>
  <c r="I848" i="3"/>
  <c r="J848" i="3"/>
  <c r="AD848" i="3" s="1"/>
  <c r="M848" i="3"/>
  <c r="N848" i="3" s="1"/>
  <c r="Z849" i="3" l="1"/>
  <c r="AA849" i="3"/>
  <c r="AC849" i="3"/>
  <c r="P849" i="3"/>
  <c r="Q849" i="3" s="1"/>
  <c r="R849" i="3" s="1"/>
  <c r="S849" i="3" s="1"/>
  <c r="L848" i="3"/>
  <c r="W848" i="3"/>
  <c r="U848" i="3" l="1"/>
  <c r="Y847" i="3"/>
  <c r="T849" i="3"/>
  <c r="AH849" i="3" s="1"/>
  <c r="E849" i="3" l="1"/>
  <c r="H849" i="3" s="1"/>
  <c r="AG849" i="3"/>
  <c r="D849" i="3"/>
  <c r="F849" i="3" l="1"/>
  <c r="G849" i="3"/>
  <c r="K849" i="3"/>
  <c r="AE849" i="3" s="1"/>
  <c r="V849" i="3" l="1"/>
  <c r="A850" i="3"/>
  <c r="B850" i="3" s="1"/>
  <c r="I849" i="3"/>
  <c r="J849" i="3"/>
  <c r="AD849" i="3" s="1"/>
  <c r="M849" i="3"/>
  <c r="N849" i="3" s="1"/>
  <c r="L849" i="3" l="1"/>
  <c r="P850" i="3"/>
  <c r="Q850" i="3" s="1"/>
  <c r="R850" i="3" s="1"/>
  <c r="S850" i="3" s="1"/>
  <c r="AC850" i="3"/>
  <c r="Z850" i="3"/>
  <c r="AA850" i="3"/>
  <c r="W849" i="3"/>
  <c r="T850" i="3" l="1"/>
  <c r="AH850" i="3" s="1"/>
  <c r="U849" i="3"/>
  <c r="Y848" i="3"/>
  <c r="E850" i="3" l="1"/>
  <c r="H850" i="3" s="1"/>
  <c r="K850" i="3" s="1"/>
  <c r="AE850" i="3" s="1"/>
  <c r="AG850" i="3"/>
  <c r="D850" i="3"/>
  <c r="V850" i="3" l="1"/>
  <c r="A851" i="3"/>
  <c r="B851" i="3" s="1"/>
  <c r="F850" i="3"/>
  <c r="G850" i="3"/>
  <c r="I850" i="3" l="1"/>
  <c r="W850" i="3" s="1"/>
  <c r="J850" i="3"/>
  <c r="AD850" i="3" s="1"/>
  <c r="M850" i="3"/>
  <c r="N850" i="3" s="1"/>
  <c r="AC851" i="3"/>
  <c r="AA851" i="3"/>
  <c r="P851" i="3"/>
  <c r="Q851" i="3" s="1"/>
  <c r="R851" i="3" s="1"/>
  <c r="S851" i="3" s="1"/>
  <c r="Z851" i="3"/>
  <c r="L850" i="3" l="1"/>
  <c r="T851" i="3"/>
  <c r="AG851" i="3" l="1"/>
  <c r="AH851" i="3"/>
  <c r="U850" i="3"/>
  <c r="E851" i="3" s="1"/>
  <c r="H851" i="3" s="1"/>
  <c r="Y849" i="3"/>
  <c r="D851" i="3" l="1"/>
  <c r="F851" i="3" s="1"/>
  <c r="K851" i="3"/>
  <c r="AE851" i="3" s="1"/>
  <c r="G851" i="3" l="1"/>
  <c r="I851" i="3" s="1"/>
  <c r="V851" i="3"/>
  <c r="A852" i="3"/>
  <c r="B852" i="3" s="1"/>
  <c r="M851" i="3" l="1"/>
  <c r="N851" i="3" s="1"/>
  <c r="J851" i="3"/>
  <c r="W851" i="3"/>
  <c r="AC852" i="3"/>
  <c r="P852" i="3"/>
  <c r="Q852" i="3" s="1"/>
  <c r="R852" i="3" s="1"/>
  <c r="S852" i="3" s="1"/>
  <c r="Z852" i="3"/>
  <c r="AA852" i="3"/>
  <c r="L851" i="3" l="1"/>
  <c r="U851" i="3" s="1"/>
  <c r="AD851" i="3"/>
  <c r="T852" i="3"/>
  <c r="Y850" i="3" l="1"/>
  <c r="AH852" i="3"/>
  <c r="AG852" i="3"/>
  <c r="E852" i="3"/>
  <c r="H852" i="3" s="1"/>
  <c r="K852" i="3" s="1"/>
  <c r="AE852" i="3" s="1"/>
  <c r="D852" i="3"/>
  <c r="F852" i="3" l="1"/>
  <c r="G852" i="3"/>
  <c r="I852" i="3" s="1"/>
  <c r="V852" i="3"/>
  <c r="A853" i="3"/>
  <c r="B853" i="3" s="1"/>
  <c r="M852" i="3" l="1"/>
  <c r="N852" i="3" s="1"/>
  <c r="J852" i="3"/>
  <c r="W852" i="3"/>
  <c r="AC853" i="3"/>
  <c r="Z853" i="3"/>
  <c r="P853" i="3"/>
  <c r="Q853" i="3" s="1"/>
  <c r="R853" i="3" s="1"/>
  <c r="S853" i="3" s="1"/>
  <c r="AA853" i="3"/>
  <c r="L852" i="3" l="1"/>
  <c r="U852" i="3" s="1"/>
  <c r="AD852" i="3"/>
  <c r="T853" i="3"/>
  <c r="Y851" i="3" l="1"/>
  <c r="AH853" i="3"/>
  <c r="AG853" i="3"/>
  <c r="E853" i="3"/>
  <c r="H853" i="3" s="1"/>
  <c r="K853" i="3" s="1"/>
  <c r="AE853" i="3" s="1"/>
  <c r="D853" i="3"/>
  <c r="F853" i="3" l="1"/>
  <c r="G853" i="3"/>
  <c r="I853" i="3" s="1"/>
  <c r="V853" i="3"/>
  <c r="A854" i="3"/>
  <c r="B854" i="3" s="1"/>
  <c r="M853" i="3" l="1"/>
  <c r="N853" i="3" s="1"/>
  <c r="J853" i="3"/>
  <c r="W853" i="3"/>
  <c r="Z854" i="3"/>
  <c r="P854" i="3"/>
  <c r="Q854" i="3" s="1"/>
  <c r="R854" i="3" s="1"/>
  <c r="S854" i="3" s="1"/>
  <c r="AA854" i="3"/>
  <c r="AC854" i="3"/>
  <c r="L853" i="3" l="1"/>
  <c r="U853" i="3" s="1"/>
  <c r="AD853" i="3"/>
  <c r="T854" i="3"/>
  <c r="Y852" i="3" l="1"/>
  <c r="AG854" i="3"/>
  <c r="AH854" i="3"/>
  <c r="D854" i="3"/>
  <c r="G854" i="3" s="1"/>
  <c r="E854" i="3"/>
  <c r="H854" i="3" s="1"/>
  <c r="K854" i="3" s="1"/>
  <c r="AE854" i="3" s="1"/>
  <c r="F854" i="3" l="1"/>
  <c r="I854" i="3"/>
  <c r="J854" i="3"/>
  <c r="AD854" i="3" s="1"/>
  <c r="M854" i="3"/>
  <c r="N854" i="3" s="1"/>
  <c r="V854" i="3"/>
  <c r="A855" i="3"/>
  <c r="B855" i="3" s="1"/>
  <c r="W854" i="3" l="1"/>
  <c r="P855" i="3"/>
  <c r="Q855" i="3" s="1"/>
  <c r="R855" i="3" s="1"/>
  <c r="S855" i="3" s="1"/>
  <c r="AA855" i="3"/>
  <c r="AC855" i="3"/>
  <c r="Z855" i="3"/>
  <c r="L854" i="3"/>
  <c r="U854" i="3" l="1"/>
  <c r="Y853" i="3"/>
  <c r="T855" i="3"/>
  <c r="AH855" i="3" s="1"/>
  <c r="AG855" i="3" l="1"/>
  <c r="D855" i="3"/>
  <c r="E855" i="3"/>
  <c r="H855" i="3" s="1"/>
  <c r="F855" i="3" l="1"/>
  <c r="G855" i="3"/>
  <c r="K855" i="3"/>
  <c r="AE855" i="3" s="1"/>
  <c r="V855" i="3" l="1"/>
  <c r="A856" i="3"/>
  <c r="B856" i="3" s="1"/>
  <c r="I855" i="3"/>
  <c r="J855" i="3"/>
  <c r="AD855" i="3" s="1"/>
  <c r="M855" i="3"/>
  <c r="N855" i="3" s="1"/>
  <c r="L855" i="3" l="1"/>
  <c r="AA856" i="3"/>
  <c r="Z856" i="3"/>
  <c r="AC856" i="3"/>
  <c r="P856" i="3"/>
  <c r="Q856" i="3" s="1"/>
  <c r="R856" i="3" s="1"/>
  <c r="S856" i="3" s="1"/>
  <c r="W855" i="3"/>
  <c r="T856" i="3" l="1"/>
  <c r="AG856" i="3" s="1"/>
  <c r="U855" i="3"/>
  <c r="Y854" i="3"/>
  <c r="E856" i="3" l="1"/>
  <c r="H856" i="3" s="1"/>
  <c r="K856" i="3" s="1"/>
  <c r="AE856" i="3" s="1"/>
  <c r="AH856" i="3"/>
  <c r="D856" i="3"/>
  <c r="F856" i="3" l="1"/>
  <c r="G856" i="3"/>
  <c r="V856" i="3"/>
  <c r="A857" i="3"/>
  <c r="B857" i="3" s="1"/>
  <c r="AC857" i="3" l="1"/>
  <c r="Z857" i="3"/>
  <c r="AA857" i="3"/>
  <c r="P857" i="3"/>
  <c r="Q857" i="3" s="1"/>
  <c r="R857" i="3" s="1"/>
  <c r="S857" i="3" s="1"/>
  <c r="I856" i="3"/>
  <c r="W856" i="3" s="1"/>
  <c r="J856" i="3"/>
  <c r="AD856" i="3" s="1"/>
  <c r="M856" i="3"/>
  <c r="N856" i="3" s="1"/>
  <c r="T857" i="3" l="1"/>
  <c r="L856" i="3"/>
  <c r="U856" i="3" l="1"/>
  <c r="E857" i="3" s="1"/>
  <c r="H857" i="3" s="1"/>
  <c r="AH857" i="3"/>
  <c r="AG857" i="3"/>
  <c r="Y855" i="3"/>
  <c r="D857" i="3" l="1"/>
  <c r="F857" i="3" s="1"/>
  <c r="K857" i="3"/>
  <c r="AE857" i="3" s="1"/>
  <c r="G857" i="3" l="1"/>
  <c r="M857" i="3" s="1"/>
  <c r="N857" i="3" s="1"/>
  <c r="V857" i="3"/>
  <c r="A858" i="3"/>
  <c r="B858" i="3" s="1"/>
  <c r="J857" i="3" l="1"/>
  <c r="I857" i="3"/>
  <c r="W857" i="3" s="1"/>
  <c r="Z858" i="3"/>
  <c r="AA858" i="3"/>
  <c r="P858" i="3"/>
  <c r="Q858" i="3" s="1"/>
  <c r="R858" i="3" s="1"/>
  <c r="S858" i="3" s="1"/>
  <c r="AC858" i="3"/>
  <c r="L857" i="3" l="1"/>
  <c r="U857" i="3" s="1"/>
  <c r="AD857" i="3"/>
  <c r="T858" i="3"/>
  <c r="AG858" i="3" l="1"/>
  <c r="Y856" i="3"/>
  <c r="D858" i="3"/>
  <c r="G858" i="3" s="1"/>
  <c r="AH858" i="3"/>
  <c r="E858" i="3"/>
  <c r="H858" i="3" s="1"/>
  <c r="K858" i="3" s="1"/>
  <c r="AE858" i="3" s="1"/>
  <c r="F858" i="3" l="1"/>
  <c r="I858" i="3"/>
  <c r="J858" i="3"/>
  <c r="AD858" i="3" s="1"/>
  <c r="M858" i="3"/>
  <c r="N858" i="3" s="1"/>
  <c r="V858" i="3"/>
  <c r="A859" i="3"/>
  <c r="B859" i="3" s="1"/>
  <c r="W858" i="3" l="1"/>
  <c r="Z859" i="3"/>
  <c r="AC859" i="3"/>
  <c r="P859" i="3"/>
  <c r="Q859" i="3" s="1"/>
  <c r="R859" i="3" s="1"/>
  <c r="S859" i="3" s="1"/>
  <c r="AA859" i="3"/>
  <c r="L858" i="3"/>
  <c r="T859" i="3" l="1"/>
  <c r="AG859" i="3" s="1"/>
  <c r="U858" i="3"/>
  <c r="Y857" i="3"/>
  <c r="D859" i="3" l="1"/>
  <c r="G859" i="3" s="1"/>
  <c r="AH859" i="3"/>
  <c r="E859" i="3"/>
  <c r="H859" i="3" s="1"/>
  <c r="K859" i="3" s="1"/>
  <c r="AE859" i="3" s="1"/>
  <c r="F859" i="3" l="1"/>
  <c r="V859" i="3"/>
  <c r="A860" i="3"/>
  <c r="B860" i="3" s="1"/>
  <c r="I859" i="3"/>
  <c r="J859" i="3"/>
  <c r="AD859" i="3" s="1"/>
  <c r="M859" i="3"/>
  <c r="N859" i="3" s="1"/>
  <c r="P860" i="3" l="1"/>
  <c r="Q860" i="3" s="1"/>
  <c r="R860" i="3" s="1"/>
  <c r="S860" i="3" s="1"/>
  <c r="Z860" i="3"/>
  <c r="AA860" i="3"/>
  <c r="AC860" i="3"/>
  <c r="L859" i="3"/>
  <c r="W859" i="3"/>
  <c r="U859" i="3" l="1"/>
  <c r="Y858" i="3"/>
  <c r="T860" i="3"/>
  <c r="AH860" i="3" s="1"/>
  <c r="D860" i="3" l="1"/>
  <c r="E860" i="3"/>
  <c r="H860" i="3" s="1"/>
  <c r="AG860" i="3"/>
  <c r="K860" i="3" l="1"/>
  <c r="AE860" i="3" s="1"/>
  <c r="F860" i="3"/>
  <c r="G860" i="3"/>
  <c r="I860" i="3" l="1"/>
  <c r="J860" i="3"/>
  <c r="AD860" i="3" s="1"/>
  <c r="M860" i="3"/>
  <c r="N860" i="3" s="1"/>
  <c r="V860" i="3"/>
  <c r="A861" i="3"/>
  <c r="B861" i="3" s="1"/>
  <c r="W860" i="3" l="1"/>
  <c r="AA861" i="3"/>
  <c r="Z861" i="3"/>
  <c r="AC861" i="3"/>
  <c r="P861" i="3"/>
  <c r="Q861" i="3" s="1"/>
  <c r="R861" i="3" s="1"/>
  <c r="S861" i="3" s="1"/>
  <c r="L860" i="3"/>
  <c r="T861" i="3" l="1"/>
  <c r="AG861" i="3" s="1"/>
  <c r="U860" i="3"/>
  <c r="Y859" i="3"/>
  <c r="D861" i="3" l="1"/>
  <c r="G861" i="3" s="1"/>
  <c r="E861" i="3"/>
  <c r="H861" i="3" s="1"/>
  <c r="K861" i="3" s="1"/>
  <c r="AE861" i="3" s="1"/>
  <c r="AH861" i="3"/>
  <c r="F861" i="3" l="1"/>
  <c r="I861" i="3"/>
  <c r="J861" i="3"/>
  <c r="AD861" i="3" s="1"/>
  <c r="M861" i="3"/>
  <c r="N861" i="3" s="1"/>
  <c r="V861" i="3"/>
  <c r="A862" i="3"/>
  <c r="B862" i="3" s="1"/>
  <c r="W861" i="3" l="1"/>
  <c r="Z862" i="3"/>
  <c r="AC862" i="3"/>
  <c r="AA862" i="3"/>
  <c r="P862" i="3"/>
  <c r="Q862" i="3" s="1"/>
  <c r="R862" i="3" s="1"/>
  <c r="S862" i="3" s="1"/>
  <c r="L861" i="3"/>
  <c r="T862" i="3" l="1"/>
  <c r="AG862" i="3" s="1"/>
  <c r="U861" i="3"/>
  <c r="Y860" i="3"/>
  <c r="AH862" i="3" l="1"/>
  <c r="D862" i="3"/>
  <c r="E862" i="3"/>
  <c r="H862" i="3" s="1"/>
  <c r="K862" i="3" s="1"/>
  <c r="AE862" i="3" s="1"/>
  <c r="F862" i="3" l="1"/>
  <c r="G862" i="3"/>
  <c r="I862" i="3" s="1"/>
  <c r="V862" i="3"/>
  <c r="A863" i="3"/>
  <c r="B863" i="3" s="1"/>
  <c r="W862" i="3" l="1"/>
  <c r="M862" i="3"/>
  <c r="N862" i="3" s="1"/>
  <c r="J862" i="3"/>
  <c r="AC863" i="3"/>
  <c r="Z863" i="3"/>
  <c r="P863" i="3"/>
  <c r="Q863" i="3" s="1"/>
  <c r="R863" i="3" s="1"/>
  <c r="S863" i="3" s="1"/>
  <c r="AA863" i="3"/>
  <c r="L862" i="3" l="1"/>
  <c r="U862" i="3" s="1"/>
  <c r="AD862" i="3"/>
  <c r="T863" i="3"/>
  <c r="AG863" i="3" l="1"/>
  <c r="Y861" i="3"/>
  <c r="AH863" i="3"/>
  <c r="E863" i="3"/>
  <c r="H863" i="3" s="1"/>
  <c r="K863" i="3" s="1"/>
  <c r="AE863" i="3" s="1"/>
  <c r="D863" i="3"/>
  <c r="F863" i="3" l="1"/>
  <c r="G863" i="3"/>
  <c r="I863" i="3" s="1"/>
  <c r="V863" i="3"/>
  <c r="A864" i="3"/>
  <c r="B864" i="3" s="1"/>
  <c r="M863" i="3" l="1"/>
  <c r="N863" i="3" s="1"/>
  <c r="J863" i="3"/>
  <c r="W863" i="3"/>
  <c r="AC864" i="3"/>
  <c r="AA864" i="3"/>
  <c r="Z864" i="3"/>
  <c r="P864" i="3"/>
  <c r="Q864" i="3" s="1"/>
  <c r="R864" i="3" s="1"/>
  <c r="S864" i="3" s="1"/>
  <c r="L863" i="3" l="1"/>
  <c r="U863" i="3" s="1"/>
  <c r="AD863" i="3"/>
  <c r="T864" i="3"/>
  <c r="AH864" i="3" l="1"/>
  <c r="Y862" i="3"/>
  <c r="AG864" i="3"/>
  <c r="E864" i="3"/>
  <c r="H864" i="3" s="1"/>
  <c r="K864" i="3" s="1"/>
  <c r="AE864" i="3" s="1"/>
  <c r="D864" i="3"/>
  <c r="F864" i="3" l="1"/>
  <c r="G864" i="3"/>
  <c r="I864" i="3" s="1"/>
  <c r="V864" i="3"/>
  <c r="A865" i="3"/>
  <c r="B865" i="3" s="1"/>
  <c r="M864" i="3" l="1"/>
  <c r="N864" i="3" s="1"/>
  <c r="J864" i="3"/>
  <c r="AC865" i="3"/>
  <c r="Z865" i="3"/>
  <c r="AA865" i="3"/>
  <c r="P865" i="3"/>
  <c r="Q865" i="3" s="1"/>
  <c r="R865" i="3" s="1"/>
  <c r="S865" i="3" s="1"/>
  <c r="W864" i="3"/>
  <c r="L864" i="3" l="1"/>
  <c r="U864" i="3" s="1"/>
  <c r="AD864" i="3"/>
  <c r="T865" i="3"/>
  <c r="Y863" i="3" l="1"/>
  <c r="AG865" i="3"/>
  <c r="D865" i="3"/>
  <c r="G865" i="3" s="1"/>
  <c r="AH865" i="3"/>
  <c r="E865" i="3"/>
  <c r="H865" i="3" s="1"/>
  <c r="K865" i="3" s="1"/>
  <c r="AE865" i="3" s="1"/>
  <c r="F865" i="3" l="1"/>
  <c r="V865" i="3"/>
  <c r="A866" i="3"/>
  <c r="B866" i="3" s="1"/>
  <c r="I865" i="3"/>
  <c r="J865" i="3"/>
  <c r="AD865" i="3" s="1"/>
  <c r="M865" i="3"/>
  <c r="N865" i="3" s="1"/>
  <c r="L865" i="3" l="1"/>
  <c r="AC866" i="3"/>
  <c r="P866" i="3"/>
  <c r="Q866" i="3" s="1"/>
  <c r="R866" i="3" s="1"/>
  <c r="S866" i="3" s="1"/>
  <c r="AA866" i="3"/>
  <c r="Z866" i="3"/>
  <c r="W865" i="3"/>
  <c r="T866" i="3" l="1"/>
  <c r="AG866" i="3" s="1"/>
  <c r="U865" i="3"/>
  <c r="Y864" i="3"/>
  <c r="E866" i="3" l="1"/>
  <c r="H866" i="3" s="1"/>
  <c r="K866" i="3" s="1"/>
  <c r="AE866" i="3" s="1"/>
  <c r="AH866" i="3"/>
  <c r="D866" i="3"/>
  <c r="F866" i="3" l="1"/>
  <c r="G866" i="3"/>
  <c r="I866" i="3" s="1"/>
  <c r="V866" i="3"/>
  <c r="A867" i="3"/>
  <c r="B867" i="3" s="1"/>
  <c r="M866" i="3" l="1"/>
  <c r="N866" i="3" s="1"/>
  <c r="J866" i="3"/>
  <c r="W866" i="3"/>
  <c r="AC867" i="3"/>
  <c r="AA867" i="3"/>
  <c r="P867" i="3"/>
  <c r="Q867" i="3" s="1"/>
  <c r="R867" i="3" s="1"/>
  <c r="S867" i="3" s="1"/>
  <c r="Z867" i="3"/>
  <c r="L866" i="3" l="1"/>
  <c r="U866" i="3" s="1"/>
  <c r="AD866" i="3"/>
  <c r="T867" i="3"/>
  <c r="Y865" i="3" l="1"/>
  <c r="AG867" i="3"/>
  <c r="AH867" i="3"/>
  <c r="D867" i="3"/>
  <c r="G867" i="3" s="1"/>
  <c r="E867" i="3"/>
  <c r="H867" i="3" s="1"/>
  <c r="K867" i="3" s="1"/>
  <c r="AE867" i="3" s="1"/>
  <c r="F867" i="3" l="1"/>
  <c r="V867" i="3"/>
  <c r="A868" i="3"/>
  <c r="B868" i="3" s="1"/>
  <c r="I867" i="3"/>
  <c r="J867" i="3"/>
  <c r="AD867" i="3" s="1"/>
  <c r="M867" i="3"/>
  <c r="N867" i="3" s="1"/>
  <c r="P868" i="3" l="1"/>
  <c r="Q868" i="3" s="1"/>
  <c r="R868" i="3" s="1"/>
  <c r="S868" i="3" s="1"/>
  <c r="AA868" i="3"/>
  <c r="Z868" i="3"/>
  <c r="AC868" i="3"/>
  <c r="L867" i="3"/>
  <c r="W867" i="3"/>
  <c r="U867" i="3" l="1"/>
  <c r="Y866" i="3"/>
  <c r="T868" i="3"/>
  <c r="D868" i="3" l="1"/>
  <c r="G868" i="3" s="1"/>
  <c r="AH868" i="3"/>
  <c r="AG868" i="3"/>
  <c r="E868" i="3"/>
  <c r="H868" i="3" s="1"/>
  <c r="K868" i="3" s="1"/>
  <c r="AE868" i="3" s="1"/>
  <c r="F868" i="3" l="1"/>
  <c r="V868" i="3"/>
  <c r="A869" i="3"/>
  <c r="B869" i="3" s="1"/>
  <c r="I868" i="3"/>
  <c r="J868" i="3"/>
  <c r="AD868" i="3" s="1"/>
  <c r="M868" i="3"/>
  <c r="N868" i="3" s="1"/>
  <c r="L868" i="3" l="1"/>
  <c r="Z869" i="3"/>
  <c r="P869" i="3"/>
  <c r="Q869" i="3" s="1"/>
  <c r="R869" i="3" s="1"/>
  <c r="S869" i="3" s="1"/>
  <c r="AC869" i="3"/>
  <c r="AA869" i="3"/>
  <c r="W868" i="3"/>
  <c r="T869" i="3" l="1"/>
  <c r="AH869" i="3" s="1"/>
  <c r="U868" i="3"/>
  <c r="Y867" i="3"/>
  <c r="AG869" i="3" l="1"/>
  <c r="E869" i="3"/>
  <c r="H869" i="3" s="1"/>
  <c r="K869" i="3" s="1"/>
  <c r="AE869" i="3" s="1"/>
  <c r="D869" i="3"/>
  <c r="F869" i="3" l="1"/>
  <c r="G869" i="3"/>
  <c r="I869" i="3" s="1"/>
  <c r="V869" i="3"/>
  <c r="A870" i="3"/>
  <c r="B870" i="3" s="1"/>
  <c r="W869" i="3" l="1"/>
  <c r="M869" i="3"/>
  <c r="N869" i="3" s="1"/>
  <c r="J869" i="3"/>
  <c r="Z870" i="3"/>
  <c r="AA870" i="3"/>
  <c r="AC870" i="3"/>
  <c r="P870" i="3"/>
  <c r="Q870" i="3" s="1"/>
  <c r="R870" i="3" s="1"/>
  <c r="S870" i="3" s="1"/>
  <c r="L869" i="3" l="1"/>
  <c r="U869" i="3" s="1"/>
  <c r="AD869" i="3"/>
  <c r="T870" i="3"/>
  <c r="Y868" i="3" l="1"/>
  <c r="AG870" i="3"/>
  <c r="D870" i="3"/>
  <c r="G870" i="3" s="1"/>
  <c r="AH870" i="3"/>
  <c r="E870" i="3"/>
  <c r="H870" i="3" s="1"/>
  <c r="K870" i="3" s="1"/>
  <c r="AE870" i="3" s="1"/>
  <c r="F870" i="3" l="1"/>
  <c r="I870" i="3"/>
  <c r="J870" i="3"/>
  <c r="AD870" i="3" s="1"/>
  <c r="M870" i="3"/>
  <c r="N870" i="3" s="1"/>
  <c r="V870" i="3"/>
  <c r="A871" i="3"/>
  <c r="B871" i="3" s="1"/>
  <c r="W870" i="3" l="1"/>
  <c r="P871" i="3"/>
  <c r="Q871" i="3" s="1"/>
  <c r="R871" i="3" s="1"/>
  <c r="S871" i="3" s="1"/>
  <c r="AA871" i="3"/>
  <c r="AC871" i="3"/>
  <c r="Z871" i="3"/>
  <c r="L870" i="3"/>
  <c r="T871" i="3" l="1"/>
  <c r="AH871" i="3" s="1"/>
  <c r="U870" i="3"/>
  <c r="Y869" i="3"/>
  <c r="AG871" i="3" l="1"/>
  <c r="E871" i="3"/>
  <c r="H871" i="3" s="1"/>
  <c r="K871" i="3" s="1"/>
  <c r="AE871" i="3" s="1"/>
  <c r="D871" i="3"/>
  <c r="F871" i="3" l="1"/>
  <c r="G871" i="3"/>
  <c r="J871" i="3" s="1"/>
  <c r="AD871" i="3" s="1"/>
  <c r="V871" i="3"/>
  <c r="A872" i="3"/>
  <c r="B872" i="3" s="1"/>
  <c r="I871" i="3" l="1"/>
  <c r="W871" i="3" s="1"/>
  <c r="M871" i="3"/>
  <c r="N871" i="3" s="1"/>
  <c r="Z872" i="3"/>
  <c r="AC872" i="3"/>
  <c r="AA872" i="3"/>
  <c r="P872" i="3"/>
  <c r="Q872" i="3" s="1"/>
  <c r="R872" i="3" s="1"/>
  <c r="S872" i="3" s="1"/>
  <c r="L871" i="3"/>
  <c r="T872" i="3" l="1"/>
  <c r="AG872" i="3" s="1"/>
  <c r="U871" i="3"/>
  <c r="Y870" i="3"/>
  <c r="E872" i="3" l="1"/>
  <c r="H872" i="3" s="1"/>
  <c r="K872" i="3" s="1"/>
  <c r="AE872" i="3" s="1"/>
  <c r="AH872" i="3"/>
  <c r="D872" i="3"/>
  <c r="F872" i="3" l="1"/>
  <c r="G872" i="3"/>
  <c r="I872" i="3" s="1"/>
  <c r="V872" i="3"/>
  <c r="A873" i="3"/>
  <c r="B873" i="3" s="1"/>
  <c r="J872" i="3" l="1"/>
  <c r="M872" i="3"/>
  <c r="N872" i="3" s="1"/>
  <c r="W872" i="3"/>
  <c r="Z873" i="3"/>
  <c r="AA873" i="3"/>
  <c r="P873" i="3"/>
  <c r="Q873" i="3" s="1"/>
  <c r="R873" i="3" s="1"/>
  <c r="S873" i="3" s="1"/>
  <c r="AC873" i="3"/>
  <c r="L872" i="3" l="1"/>
  <c r="U872" i="3" s="1"/>
  <c r="AD872" i="3"/>
  <c r="T873" i="3"/>
  <c r="Y871" i="3" l="1"/>
  <c r="AG873" i="3"/>
  <c r="D873" i="3"/>
  <c r="G873" i="3" s="1"/>
  <c r="AH873" i="3"/>
  <c r="E873" i="3"/>
  <c r="H873" i="3" s="1"/>
  <c r="K873" i="3" s="1"/>
  <c r="AE873" i="3" s="1"/>
  <c r="F873" i="3" l="1"/>
  <c r="V873" i="3"/>
  <c r="A874" i="3"/>
  <c r="B874" i="3" s="1"/>
  <c r="I873" i="3"/>
  <c r="J873" i="3"/>
  <c r="AD873" i="3" s="1"/>
  <c r="M873" i="3"/>
  <c r="N873" i="3" s="1"/>
  <c r="Z874" i="3" l="1"/>
  <c r="P874" i="3"/>
  <c r="Q874" i="3" s="1"/>
  <c r="R874" i="3" s="1"/>
  <c r="S874" i="3" s="1"/>
  <c r="AA874" i="3"/>
  <c r="AC874" i="3"/>
  <c r="L873" i="3"/>
  <c r="W873" i="3"/>
  <c r="U873" i="3" l="1"/>
  <c r="Y872" i="3"/>
  <c r="T874" i="3"/>
  <c r="D874" i="3" l="1"/>
  <c r="G874" i="3" s="1"/>
  <c r="AG874" i="3"/>
  <c r="AH874" i="3"/>
  <c r="E874" i="3"/>
  <c r="H874" i="3" s="1"/>
  <c r="K874" i="3" l="1"/>
  <c r="AE874" i="3" s="1"/>
  <c r="I874" i="3"/>
  <c r="J874" i="3"/>
  <c r="AD874" i="3" s="1"/>
  <c r="M874" i="3"/>
  <c r="N874" i="3" s="1"/>
  <c r="F874" i="3"/>
  <c r="L874" i="3" l="1"/>
  <c r="V874" i="3"/>
  <c r="W874" i="3" s="1"/>
  <c r="A875" i="3"/>
  <c r="B875" i="3" s="1"/>
  <c r="AC875" i="3" l="1"/>
  <c r="Z875" i="3"/>
  <c r="P875" i="3"/>
  <c r="Q875" i="3" s="1"/>
  <c r="R875" i="3" s="1"/>
  <c r="S875" i="3" s="1"/>
  <c r="AA875" i="3"/>
  <c r="U874" i="3"/>
  <c r="Y873" i="3"/>
  <c r="T875" i="3" l="1"/>
  <c r="AH875" i="3" s="1"/>
  <c r="AG875" i="3" l="1"/>
  <c r="E875" i="3"/>
  <c r="H875" i="3" s="1"/>
  <c r="K875" i="3" s="1"/>
  <c r="AE875" i="3" s="1"/>
  <c r="D875" i="3"/>
  <c r="F875" i="3" l="1"/>
  <c r="G875" i="3"/>
  <c r="I875" i="3" s="1"/>
  <c r="V875" i="3"/>
  <c r="A876" i="3"/>
  <c r="B876" i="3" s="1"/>
  <c r="M875" i="3" l="1"/>
  <c r="N875" i="3" s="1"/>
  <c r="J875" i="3"/>
  <c r="W875" i="3"/>
  <c r="AC876" i="3"/>
  <c r="Z876" i="3"/>
  <c r="AA876" i="3"/>
  <c r="P876" i="3"/>
  <c r="Q876" i="3" s="1"/>
  <c r="R876" i="3" s="1"/>
  <c r="S876" i="3" s="1"/>
  <c r="L875" i="3" l="1"/>
  <c r="U875" i="3" s="1"/>
  <c r="AD875" i="3"/>
  <c r="T876" i="3"/>
  <c r="Y874" i="3" l="1"/>
  <c r="AH876" i="3"/>
  <c r="E876" i="3"/>
  <c r="H876" i="3" s="1"/>
  <c r="K876" i="3" s="1"/>
  <c r="AE876" i="3" s="1"/>
  <c r="AG876" i="3"/>
  <c r="D876" i="3"/>
  <c r="F876" i="3" l="1"/>
  <c r="G876" i="3"/>
  <c r="I876" i="3" s="1"/>
  <c r="V876" i="3"/>
  <c r="A877" i="3"/>
  <c r="B877" i="3" s="1"/>
  <c r="W876" i="3" l="1"/>
  <c r="M876" i="3"/>
  <c r="N876" i="3" s="1"/>
  <c r="J876" i="3"/>
  <c r="AA877" i="3"/>
  <c r="P877" i="3"/>
  <c r="Q877" i="3" s="1"/>
  <c r="R877" i="3" s="1"/>
  <c r="S877" i="3" s="1"/>
  <c r="AC877" i="3"/>
  <c r="Z877" i="3"/>
  <c r="L876" i="3" l="1"/>
  <c r="U876" i="3" s="1"/>
  <c r="AD876" i="3"/>
  <c r="T877" i="3"/>
  <c r="AG877" i="3" l="1"/>
  <c r="Y875" i="3"/>
  <c r="E877" i="3"/>
  <c r="H877" i="3" s="1"/>
  <c r="K877" i="3" s="1"/>
  <c r="AE877" i="3" s="1"/>
  <c r="AH877" i="3"/>
  <c r="D877" i="3"/>
  <c r="F877" i="3" l="1"/>
  <c r="G877" i="3"/>
  <c r="V877" i="3"/>
  <c r="A878" i="3"/>
  <c r="B878" i="3" s="1"/>
  <c r="Z878" i="3" l="1"/>
  <c r="AC878" i="3"/>
  <c r="P878" i="3"/>
  <c r="Q878" i="3" s="1"/>
  <c r="R878" i="3" s="1"/>
  <c r="S878" i="3" s="1"/>
  <c r="AA878" i="3"/>
  <c r="I877" i="3"/>
  <c r="W877" i="3" s="1"/>
  <c r="J877" i="3"/>
  <c r="AD877" i="3" s="1"/>
  <c r="M877" i="3"/>
  <c r="N877" i="3" s="1"/>
  <c r="T878" i="3" l="1"/>
  <c r="L877" i="3"/>
  <c r="U877" i="3" l="1"/>
  <c r="E878" i="3" s="1"/>
  <c r="H878" i="3" s="1"/>
  <c r="AH878" i="3"/>
  <c r="AG878" i="3"/>
  <c r="Y876" i="3"/>
  <c r="D878" i="3" l="1"/>
  <c r="F878" i="3" s="1"/>
  <c r="K878" i="3"/>
  <c r="AE878" i="3" s="1"/>
  <c r="G878" i="3" l="1"/>
  <c r="I878" i="3" s="1"/>
  <c r="V878" i="3"/>
  <c r="A879" i="3"/>
  <c r="B879" i="3" s="1"/>
  <c r="M878" i="3" l="1"/>
  <c r="N878" i="3" s="1"/>
  <c r="J878" i="3"/>
  <c r="W878" i="3"/>
  <c r="AA879" i="3"/>
  <c r="Z879" i="3"/>
  <c r="P879" i="3"/>
  <c r="Q879" i="3" s="1"/>
  <c r="R879" i="3" s="1"/>
  <c r="S879" i="3" s="1"/>
  <c r="AC879" i="3"/>
  <c r="L878" i="3" l="1"/>
  <c r="U878" i="3" s="1"/>
  <c r="AD878" i="3"/>
  <c r="T879" i="3"/>
  <c r="Y877" i="3" l="1"/>
  <c r="AG879" i="3"/>
  <c r="D879" i="3"/>
  <c r="G879" i="3" s="1"/>
  <c r="AH879" i="3"/>
  <c r="E879" i="3"/>
  <c r="H879" i="3" s="1"/>
  <c r="K879" i="3" s="1"/>
  <c r="AE879" i="3" s="1"/>
  <c r="F879" i="3" l="1"/>
  <c r="I879" i="3"/>
  <c r="J879" i="3"/>
  <c r="AD879" i="3" s="1"/>
  <c r="M879" i="3"/>
  <c r="N879" i="3" s="1"/>
  <c r="V879" i="3"/>
  <c r="A880" i="3"/>
  <c r="B880" i="3" s="1"/>
  <c r="W879" i="3" l="1"/>
  <c r="P880" i="3"/>
  <c r="Q880" i="3" s="1"/>
  <c r="R880" i="3" s="1"/>
  <c r="S880" i="3" s="1"/>
  <c r="Z880" i="3"/>
  <c r="AC880" i="3"/>
  <c r="AA880" i="3"/>
  <c r="L879" i="3"/>
  <c r="U879" i="3" l="1"/>
  <c r="Y878" i="3"/>
  <c r="T880" i="3"/>
  <c r="E880" i="3" l="1"/>
  <c r="H880" i="3" s="1"/>
  <c r="K880" i="3" s="1"/>
  <c r="AE880" i="3" s="1"/>
  <c r="AH880" i="3"/>
  <c r="D880" i="3"/>
  <c r="AG880" i="3"/>
  <c r="F880" i="3" l="1"/>
  <c r="G880" i="3"/>
  <c r="V880" i="3"/>
  <c r="A881" i="3"/>
  <c r="B881" i="3" s="1"/>
  <c r="P881" i="3" l="1"/>
  <c r="Q881" i="3" s="1"/>
  <c r="R881" i="3" s="1"/>
  <c r="S881" i="3" s="1"/>
  <c r="AA881" i="3"/>
  <c r="Z881" i="3"/>
  <c r="AC881" i="3"/>
  <c r="I880" i="3"/>
  <c r="W880" i="3" s="1"/>
  <c r="J880" i="3"/>
  <c r="AD880" i="3" s="1"/>
  <c r="M880" i="3"/>
  <c r="N880" i="3" s="1"/>
  <c r="L880" i="3" l="1"/>
  <c r="T881" i="3"/>
  <c r="AG881" i="3" l="1"/>
  <c r="U880" i="3"/>
  <c r="E881" i="3" s="1"/>
  <c r="H881" i="3" s="1"/>
  <c r="AH881" i="3"/>
  <c r="Y879" i="3"/>
  <c r="D881" i="3" l="1"/>
  <c r="F881" i="3" s="1"/>
  <c r="K881" i="3"/>
  <c r="AE881" i="3" s="1"/>
  <c r="G881" i="3" l="1"/>
  <c r="I881" i="3" s="1"/>
  <c r="V881" i="3"/>
  <c r="A882" i="3"/>
  <c r="B882" i="3" s="1"/>
  <c r="M881" i="3" l="1"/>
  <c r="N881" i="3" s="1"/>
  <c r="J881" i="3"/>
  <c r="W881" i="3"/>
  <c r="Z882" i="3"/>
  <c r="P882" i="3"/>
  <c r="Q882" i="3" s="1"/>
  <c r="R882" i="3" s="1"/>
  <c r="S882" i="3" s="1"/>
  <c r="AC882" i="3"/>
  <c r="AA882" i="3"/>
  <c r="L881" i="3" l="1"/>
  <c r="U881" i="3" s="1"/>
  <c r="AD881" i="3"/>
  <c r="T882" i="3"/>
  <c r="Y880" i="3" l="1"/>
  <c r="AG882" i="3"/>
  <c r="E882" i="3"/>
  <c r="H882" i="3" s="1"/>
  <c r="K882" i="3" s="1"/>
  <c r="AE882" i="3" s="1"/>
  <c r="AH882" i="3"/>
  <c r="D882" i="3"/>
  <c r="F882" i="3" l="1"/>
  <c r="G882" i="3"/>
  <c r="I882" i="3" s="1"/>
  <c r="V882" i="3"/>
  <c r="A883" i="3"/>
  <c r="B883" i="3" s="1"/>
  <c r="M882" i="3" l="1"/>
  <c r="N882" i="3" s="1"/>
  <c r="J882" i="3"/>
  <c r="W882" i="3"/>
  <c r="P883" i="3"/>
  <c r="Q883" i="3" s="1"/>
  <c r="R883" i="3" s="1"/>
  <c r="S883" i="3" s="1"/>
  <c r="AC883" i="3"/>
  <c r="AA883" i="3"/>
  <c r="Z883" i="3"/>
  <c r="L882" i="3" l="1"/>
  <c r="U882" i="3" s="1"/>
  <c r="AD882" i="3"/>
  <c r="T883" i="3"/>
  <c r="Y881" i="3" l="1"/>
  <c r="AG883" i="3"/>
  <c r="D883" i="3"/>
  <c r="G883" i="3" s="1"/>
  <c r="AH883" i="3"/>
  <c r="E883" i="3"/>
  <c r="H883" i="3" s="1"/>
  <c r="K883" i="3" l="1"/>
  <c r="AE883" i="3" s="1"/>
  <c r="I883" i="3"/>
  <c r="J883" i="3"/>
  <c r="AD883" i="3" s="1"/>
  <c r="M883" i="3"/>
  <c r="N883" i="3" s="1"/>
  <c r="F883" i="3"/>
  <c r="L883" i="3" l="1"/>
  <c r="V883" i="3"/>
  <c r="W883" i="3" s="1"/>
  <c r="A884" i="3"/>
  <c r="B884" i="3" s="1"/>
  <c r="P884" i="3" l="1"/>
  <c r="Q884" i="3" s="1"/>
  <c r="R884" i="3" s="1"/>
  <c r="S884" i="3" s="1"/>
  <c r="Z884" i="3"/>
  <c r="AC884" i="3"/>
  <c r="AA884" i="3"/>
  <c r="U883" i="3"/>
  <c r="Y882" i="3"/>
  <c r="T884" i="3" l="1"/>
  <c r="AH884" i="3" l="1"/>
  <c r="AG884" i="3"/>
  <c r="E884" i="3"/>
  <c r="H884" i="3" s="1"/>
  <c r="D884" i="3"/>
  <c r="F884" i="3" l="1"/>
  <c r="G884" i="3"/>
  <c r="K884" i="3"/>
  <c r="AE884" i="3" s="1"/>
  <c r="V884" i="3" l="1"/>
  <c r="A885" i="3"/>
  <c r="B885" i="3" s="1"/>
  <c r="I884" i="3"/>
  <c r="J884" i="3"/>
  <c r="AD884" i="3" s="1"/>
  <c r="M884" i="3"/>
  <c r="N884" i="3" s="1"/>
  <c r="AA885" i="3" l="1"/>
  <c r="P885" i="3"/>
  <c r="Q885" i="3" s="1"/>
  <c r="R885" i="3" s="1"/>
  <c r="S885" i="3" s="1"/>
  <c r="Z885" i="3"/>
  <c r="AC885" i="3"/>
  <c r="L884" i="3"/>
  <c r="W884" i="3"/>
  <c r="U884" i="3" l="1"/>
  <c r="Y883" i="3"/>
  <c r="T885" i="3"/>
  <c r="AG885" i="3" s="1"/>
  <c r="E885" i="3" l="1"/>
  <c r="H885" i="3" s="1"/>
  <c r="D885" i="3"/>
  <c r="AH885" i="3"/>
  <c r="F885" i="3" l="1"/>
  <c r="G885" i="3"/>
  <c r="K885" i="3"/>
  <c r="AE885" i="3" s="1"/>
  <c r="V885" i="3" l="1"/>
  <c r="A886" i="3"/>
  <c r="B886" i="3" s="1"/>
  <c r="I885" i="3"/>
  <c r="J885" i="3"/>
  <c r="AD885" i="3" s="1"/>
  <c r="M885" i="3"/>
  <c r="N885" i="3" s="1"/>
  <c r="L885" i="3" l="1"/>
  <c r="AC886" i="3"/>
  <c r="Z886" i="3"/>
  <c r="AA886" i="3"/>
  <c r="P886" i="3"/>
  <c r="Q886" i="3" s="1"/>
  <c r="R886" i="3" s="1"/>
  <c r="S886" i="3" s="1"/>
  <c r="W885" i="3"/>
  <c r="T886" i="3" l="1"/>
  <c r="AG886" i="3" s="1"/>
  <c r="U885" i="3"/>
  <c r="Y884" i="3"/>
  <c r="D886" i="3" l="1"/>
  <c r="G886" i="3" s="1"/>
  <c r="AH886" i="3"/>
  <c r="E886" i="3"/>
  <c r="H886" i="3" s="1"/>
  <c r="K886" i="3" s="1"/>
  <c r="AE886" i="3" s="1"/>
  <c r="F886" i="3" l="1"/>
  <c r="V886" i="3"/>
  <c r="A887" i="3"/>
  <c r="B887" i="3" s="1"/>
  <c r="I886" i="3"/>
  <c r="J886" i="3"/>
  <c r="AD886" i="3" s="1"/>
  <c r="M886" i="3"/>
  <c r="N886" i="3" s="1"/>
  <c r="L886" i="3" l="1"/>
  <c r="P887" i="3"/>
  <c r="Q887" i="3" s="1"/>
  <c r="R887" i="3" s="1"/>
  <c r="S887" i="3" s="1"/>
  <c r="AA887" i="3"/>
  <c r="AC887" i="3"/>
  <c r="Z887" i="3"/>
  <c r="W886" i="3"/>
  <c r="T887" i="3" l="1"/>
  <c r="AH887" i="3" s="1"/>
  <c r="U886" i="3"/>
  <c r="Y885" i="3"/>
  <c r="AG887" i="3" l="1"/>
  <c r="D887" i="3"/>
  <c r="G887" i="3" s="1"/>
  <c r="E887" i="3"/>
  <c r="H887" i="3" s="1"/>
  <c r="K887" i="3" s="1"/>
  <c r="AE887" i="3" s="1"/>
  <c r="F887" i="3" l="1"/>
  <c r="V887" i="3"/>
  <c r="A888" i="3"/>
  <c r="B888" i="3" s="1"/>
  <c r="I887" i="3"/>
  <c r="J887" i="3"/>
  <c r="AD887" i="3" s="1"/>
  <c r="M887" i="3"/>
  <c r="N887" i="3" s="1"/>
  <c r="P888" i="3" l="1"/>
  <c r="Q888" i="3" s="1"/>
  <c r="R888" i="3" s="1"/>
  <c r="S888" i="3" s="1"/>
  <c r="Z888" i="3"/>
  <c r="AC888" i="3"/>
  <c r="AA888" i="3"/>
  <c r="L887" i="3"/>
  <c r="W887" i="3"/>
  <c r="T888" i="3" l="1"/>
  <c r="AG888" i="3" s="1"/>
  <c r="U887" i="3"/>
  <c r="Y886" i="3"/>
  <c r="E888" i="3" l="1"/>
  <c r="H888" i="3" s="1"/>
  <c r="K888" i="3" s="1"/>
  <c r="AE888" i="3" s="1"/>
  <c r="AH888" i="3"/>
  <c r="D888" i="3"/>
  <c r="F888" i="3" l="1"/>
  <c r="G888" i="3"/>
  <c r="I888" i="3" s="1"/>
  <c r="V888" i="3"/>
  <c r="A889" i="3"/>
  <c r="B889" i="3" s="1"/>
  <c r="M888" i="3" l="1"/>
  <c r="N888" i="3" s="1"/>
  <c r="J888" i="3"/>
  <c r="Z889" i="3"/>
  <c r="P889" i="3"/>
  <c r="Q889" i="3" s="1"/>
  <c r="R889" i="3" s="1"/>
  <c r="S889" i="3" s="1"/>
  <c r="AC889" i="3"/>
  <c r="AA889" i="3"/>
  <c r="W888" i="3"/>
  <c r="L888" i="3" l="1"/>
  <c r="U888" i="3" s="1"/>
  <c r="AD888" i="3"/>
  <c r="T889" i="3"/>
  <c r="Y887" i="3" l="1"/>
  <c r="AH889" i="3"/>
  <c r="E889" i="3"/>
  <c r="H889" i="3" s="1"/>
  <c r="K889" i="3" s="1"/>
  <c r="AE889" i="3" s="1"/>
  <c r="D889" i="3"/>
  <c r="G889" i="3" s="1"/>
  <c r="AG889" i="3"/>
  <c r="F889" i="3" l="1"/>
  <c r="I889" i="3"/>
  <c r="J889" i="3"/>
  <c r="AD889" i="3" s="1"/>
  <c r="M889" i="3"/>
  <c r="N889" i="3" s="1"/>
  <c r="V889" i="3"/>
  <c r="A890" i="3"/>
  <c r="B890" i="3" s="1"/>
  <c r="W889" i="3" l="1"/>
  <c r="L889" i="3"/>
  <c r="AA890" i="3"/>
  <c r="P890" i="3"/>
  <c r="Q890" i="3" s="1"/>
  <c r="R890" i="3" s="1"/>
  <c r="S890" i="3" s="1"/>
  <c r="Z890" i="3"/>
  <c r="AC890" i="3"/>
  <c r="T890" i="3" l="1"/>
  <c r="AH890" i="3" s="1"/>
  <c r="U889" i="3"/>
  <c r="Y888" i="3"/>
  <c r="D890" i="3" l="1"/>
  <c r="G890" i="3" s="1"/>
  <c r="AG890" i="3"/>
  <c r="E890" i="3"/>
  <c r="H890" i="3" s="1"/>
  <c r="K890" i="3" s="1"/>
  <c r="AE890" i="3" s="1"/>
  <c r="F890" i="3" l="1"/>
  <c r="V890" i="3"/>
  <c r="A891" i="3"/>
  <c r="B891" i="3" s="1"/>
  <c r="I890" i="3"/>
  <c r="J890" i="3"/>
  <c r="AD890" i="3" s="1"/>
  <c r="M890" i="3"/>
  <c r="N890" i="3" s="1"/>
  <c r="L890" i="3" l="1"/>
  <c r="AA891" i="3"/>
  <c r="P891" i="3"/>
  <c r="Q891" i="3" s="1"/>
  <c r="R891" i="3" s="1"/>
  <c r="S891" i="3" s="1"/>
  <c r="AC891" i="3"/>
  <c r="Z891" i="3"/>
  <c r="W890" i="3"/>
  <c r="T891" i="3" l="1"/>
  <c r="AH891" i="3" s="1"/>
  <c r="U890" i="3"/>
  <c r="Y889" i="3"/>
  <c r="AG891" i="3" l="1"/>
  <c r="E891" i="3"/>
  <c r="H891" i="3" s="1"/>
  <c r="K891" i="3" s="1"/>
  <c r="AE891" i="3" s="1"/>
  <c r="D891" i="3"/>
  <c r="F891" i="3" l="1"/>
  <c r="G891" i="3"/>
  <c r="I891" i="3" s="1"/>
  <c r="V891" i="3"/>
  <c r="A892" i="3"/>
  <c r="B892" i="3" s="1"/>
  <c r="M891" i="3" l="1"/>
  <c r="N891" i="3" s="1"/>
  <c r="J891" i="3"/>
  <c r="W891" i="3"/>
  <c r="AA892" i="3"/>
  <c r="Z892" i="3"/>
  <c r="AC892" i="3"/>
  <c r="P892" i="3"/>
  <c r="Q892" i="3" s="1"/>
  <c r="R892" i="3" s="1"/>
  <c r="S892" i="3" s="1"/>
  <c r="L891" i="3" l="1"/>
  <c r="U891" i="3" s="1"/>
  <c r="AD891" i="3"/>
  <c r="T892" i="3"/>
  <c r="Y890" i="3" l="1"/>
  <c r="AH892" i="3"/>
  <c r="AG892" i="3"/>
  <c r="D892" i="3"/>
  <c r="G892" i="3" s="1"/>
  <c r="E892" i="3"/>
  <c r="H892" i="3" s="1"/>
  <c r="K892" i="3" s="1"/>
  <c r="AE892" i="3" s="1"/>
  <c r="F892" i="3" l="1"/>
  <c r="V892" i="3"/>
  <c r="A893" i="3"/>
  <c r="B893" i="3" s="1"/>
  <c r="I892" i="3"/>
  <c r="J892" i="3"/>
  <c r="AD892" i="3" s="1"/>
  <c r="M892" i="3"/>
  <c r="N892" i="3" s="1"/>
  <c r="L892" i="3" l="1"/>
  <c r="Z893" i="3"/>
  <c r="AC893" i="3"/>
  <c r="P893" i="3"/>
  <c r="Q893" i="3" s="1"/>
  <c r="R893" i="3" s="1"/>
  <c r="S893" i="3" s="1"/>
  <c r="AA893" i="3"/>
  <c r="W892" i="3"/>
  <c r="U892" i="3" l="1"/>
  <c r="Y891" i="3"/>
  <c r="T893" i="3"/>
  <c r="AG893" i="3" s="1"/>
  <c r="E893" i="3" l="1"/>
  <c r="H893" i="3" s="1"/>
  <c r="AH893" i="3"/>
  <c r="D893" i="3"/>
  <c r="F893" i="3" l="1"/>
  <c r="G893" i="3"/>
  <c r="K893" i="3"/>
  <c r="AE893" i="3" s="1"/>
  <c r="V893" i="3" l="1"/>
  <c r="A894" i="3"/>
  <c r="B894" i="3" s="1"/>
  <c r="I893" i="3"/>
  <c r="J893" i="3"/>
  <c r="AD893" i="3" s="1"/>
  <c r="M893" i="3"/>
  <c r="N893" i="3" s="1"/>
  <c r="L893" i="3" l="1"/>
  <c r="P894" i="3"/>
  <c r="Q894" i="3" s="1"/>
  <c r="R894" i="3" s="1"/>
  <c r="S894" i="3" s="1"/>
  <c r="AC894" i="3"/>
  <c r="AA894" i="3"/>
  <c r="Z894" i="3"/>
  <c r="W893" i="3"/>
  <c r="T894" i="3" l="1"/>
  <c r="AH894" i="3" s="1"/>
  <c r="U893" i="3"/>
  <c r="Y892" i="3"/>
  <c r="D894" i="3" l="1"/>
  <c r="G894" i="3" s="1"/>
  <c r="E894" i="3"/>
  <c r="H894" i="3" s="1"/>
  <c r="K894" i="3" s="1"/>
  <c r="AE894" i="3" s="1"/>
  <c r="AG894" i="3"/>
  <c r="F894" i="3" l="1"/>
  <c r="V894" i="3"/>
  <c r="A895" i="3"/>
  <c r="B895" i="3" s="1"/>
  <c r="I894" i="3"/>
  <c r="J894" i="3"/>
  <c r="AD894" i="3" s="1"/>
  <c r="M894" i="3"/>
  <c r="N894" i="3" s="1"/>
  <c r="L894" i="3" l="1"/>
  <c r="AA895" i="3"/>
  <c r="P895" i="3"/>
  <c r="Q895" i="3" s="1"/>
  <c r="R895" i="3" s="1"/>
  <c r="S895" i="3" s="1"/>
  <c r="Z895" i="3"/>
  <c r="AC895" i="3"/>
  <c r="W894" i="3"/>
  <c r="U894" i="3" l="1"/>
  <c r="Y893" i="3"/>
  <c r="T895" i="3"/>
  <c r="E895" i="3" l="1"/>
  <c r="H895" i="3" s="1"/>
  <c r="K895" i="3" s="1"/>
  <c r="AE895" i="3" s="1"/>
  <c r="AG895" i="3"/>
  <c r="D895" i="3"/>
  <c r="AH895" i="3"/>
  <c r="F895" i="3" l="1"/>
  <c r="G895" i="3"/>
  <c r="V895" i="3"/>
  <c r="A896" i="3"/>
  <c r="B896" i="3" s="1"/>
  <c r="AA896" i="3" l="1"/>
  <c r="Z896" i="3"/>
  <c r="P896" i="3"/>
  <c r="Q896" i="3" s="1"/>
  <c r="R896" i="3" s="1"/>
  <c r="S896" i="3" s="1"/>
  <c r="AC896" i="3"/>
  <c r="I895" i="3"/>
  <c r="W895" i="3" s="1"/>
  <c r="J895" i="3"/>
  <c r="AD895" i="3" s="1"/>
  <c r="M895" i="3"/>
  <c r="N895" i="3" s="1"/>
  <c r="T896" i="3" l="1"/>
  <c r="L895" i="3"/>
  <c r="AG896" i="3" l="1"/>
  <c r="AH896" i="3"/>
  <c r="U895" i="3"/>
  <c r="D896" i="3" s="1"/>
  <c r="Y894" i="3"/>
  <c r="G896" i="3" l="1"/>
  <c r="E896" i="3"/>
  <c r="H896" i="3" s="1"/>
  <c r="K896" i="3" l="1"/>
  <c r="AE896" i="3" s="1"/>
  <c r="I896" i="3"/>
  <c r="J896" i="3"/>
  <c r="AD896" i="3" s="1"/>
  <c r="M896" i="3"/>
  <c r="N896" i="3" s="1"/>
  <c r="F896" i="3"/>
  <c r="L896" i="3" l="1"/>
  <c r="V896" i="3"/>
  <c r="W896" i="3" s="1"/>
  <c r="A897" i="3"/>
  <c r="B897" i="3" s="1"/>
  <c r="P897" i="3" l="1"/>
  <c r="Q897" i="3" s="1"/>
  <c r="R897" i="3" s="1"/>
  <c r="S897" i="3" s="1"/>
  <c r="AC897" i="3"/>
  <c r="AA897" i="3"/>
  <c r="Z897" i="3"/>
  <c r="U896" i="3"/>
  <c r="Y895" i="3"/>
  <c r="T897" i="3" l="1"/>
  <c r="AH897" i="3" s="1"/>
  <c r="AG897" i="3" l="1"/>
  <c r="E897" i="3"/>
  <c r="H897" i="3" s="1"/>
  <c r="D897" i="3"/>
  <c r="K897" i="3" l="1"/>
  <c r="AE897" i="3" s="1"/>
  <c r="F897" i="3"/>
  <c r="G897" i="3"/>
  <c r="I897" i="3" l="1"/>
  <c r="J897" i="3"/>
  <c r="AD897" i="3" s="1"/>
  <c r="M897" i="3"/>
  <c r="N897" i="3" s="1"/>
  <c r="V897" i="3"/>
  <c r="A898" i="3"/>
  <c r="B898" i="3" s="1"/>
  <c r="W897" i="3" l="1"/>
  <c r="P898" i="3"/>
  <c r="Q898" i="3" s="1"/>
  <c r="R898" i="3" s="1"/>
  <c r="S898" i="3" s="1"/>
  <c r="AA898" i="3"/>
  <c r="Z898" i="3"/>
  <c r="AC898" i="3"/>
  <c r="L897" i="3"/>
  <c r="U897" i="3" l="1"/>
  <c r="Y896" i="3"/>
  <c r="T898" i="3"/>
  <c r="AH898" i="3" s="1"/>
  <c r="E898" i="3" l="1"/>
  <c r="H898" i="3" s="1"/>
  <c r="K898" i="3" s="1"/>
  <c r="AE898" i="3" s="1"/>
  <c r="D898" i="3"/>
  <c r="AG898" i="3"/>
  <c r="V898" i="3" l="1"/>
  <c r="A899" i="3"/>
  <c r="B899" i="3" s="1"/>
  <c r="F898" i="3"/>
  <c r="G898" i="3"/>
  <c r="AC899" i="3" l="1"/>
  <c r="Z899" i="3"/>
  <c r="P899" i="3"/>
  <c r="Q899" i="3" s="1"/>
  <c r="R899" i="3" s="1"/>
  <c r="S899" i="3" s="1"/>
  <c r="AA899" i="3"/>
  <c r="I898" i="3"/>
  <c r="W898" i="3" s="1"/>
  <c r="J898" i="3"/>
  <c r="AD898" i="3" s="1"/>
  <c r="M898" i="3"/>
  <c r="N898" i="3" s="1"/>
  <c r="T899" i="3" l="1"/>
  <c r="L898" i="3"/>
  <c r="AH899" i="3" l="1"/>
  <c r="U898" i="3"/>
  <c r="D899" i="3" s="1"/>
  <c r="AG899" i="3"/>
  <c r="Y897" i="3"/>
  <c r="E899" i="3" l="1"/>
  <c r="H899" i="3" s="1"/>
  <c r="K899" i="3" s="1"/>
  <c r="AE899" i="3" s="1"/>
  <c r="G899" i="3"/>
  <c r="F899" i="3" l="1"/>
  <c r="V899" i="3"/>
  <c r="A900" i="3"/>
  <c r="B900" i="3" s="1"/>
  <c r="I899" i="3"/>
  <c r="J899" i="3"/>
  <c r="AD899" i="3" s="1"/>
  <c r="M899" i="3"/>
  <c r="N899" i="3" s="1"/>
  <c r="AC900" i="3" l="1"/>
  <c r="AA900" i="3"/>
  <c r="Z900" i="3"/>
  <c r="P900" i="3"/>
  <c r="Q900" i="3" s="1"/>
  <c r="R900" i="3" s="1"/>
  <c r="S900" i="3" s="1"/>
  <c r="L899" i="3"/>
  <c r="W899" i="3"/>
  <c r="T900" i="3" l="1"/>
  <c r="AG900" i="3" s="1"/>
  <c r="U899" i="3"/>
  <c r="Y898" i="3"/>
  <c r="D900" i="3" l="1"/>
  <c r="G900" i="3" s="1"/>
  <c r="E900" i="3"/>
  <c r="H900" i="3" s="1"/>
  <c r="K900" i="3" s="1"/>
  <c r="AE900" i="3" s="1"/>
  <c r="AH900" i="3"/>
  <c r="F900" i="3" l="1"/>
  <c r="V900" i="3"/>
  <c r="A901" i="3"/>
  <c r="B901" i="3" s="1"/>
  <c r="I900" i="3"/>
  <c r="J900" i="3"/>
  <c r="AD900" i="3" s="1"/>
  <c r="M900" i="3"/>
  <c r="N900" i="3" s="1"/>
  <c r="L900" i="3" l="1"/>
  <c r="AC901" i="3"/>
  <c r="Z901" i="3"/>
  <c r="P901" i="3"/>
  <c r="Q901" i="3" s="1"/>
  <c r="R901" i="3" s="1"/>
  <c r="S901" i="3" s="1"/>
  <c r="AA901" i="3"/>
  <c r="W900" i="3"/>
  <c r="T901" i="3" l="1"/>
  <c r="AH901" i="3" s="1"/>
  <c r="U900" i="3"/>
  <c r="Y899" i="3"/>
  <c r="D901" i="3" l="1"/>
  <c r="G901" i="3" s="1"/>
  <c r="AG901" i="3"/>
  <c r="E901" i="3"/>
  <c r="H901" i="3" s="1"/>
  <c r="K901" i="3" s="1"/>
  <c r="AE901" i="3" s="1"/>
  <c r="F901" i="3" l="1"/>
  <c r="V901" i="3"/>
  <c r="A902" i="3"/>
  <c r="B902" i="3" s="1"/>
  <c r="I901" i="3"/>
  <c r="J901" i="3"/>
  <c r="AD901" i="3" s="1"/>
  <c r="M901" i="3"/>
  <c r="N901" i="3" s="1"/>
  <c r="L901" i="3" l="1"/>
  <c r="AC902" i="3"/>
  <c r="P902" i="3"/>
  <c r="Q902" i="3" s="1"/>
  <c r="R902" i="3" s="1"/>
  <c r="S902" i="3" s="1"/>
  <c r="Z902" i="3"/>
  <c r="AA902" i="3"/>
  <c r="W901" i="3"/>
  <c r="T902" i="3" l="1"/>
  <c r="AG902" i="3" s="1"/>
  <c r="U901" i="3"/>
  <c r="Y900" i="3"/>
  <c r="E902" i="3" l="1"/>
  <c r="H902" i="3" s="1"/>
  <c r="K902" i="3" s="1"/>
  <c r="AE902" i="3" s="1"/>
  <c r="AH902" i="3"/>
  <c r="D902" i="3"/>
  <c r="F902" i="3" l="1"/>
  <c r="G902" i="3"/>
  <c r="V902" i="3"/>
  <c r="A903" i="3"/>
  <c r="B903" i="3" s="1"/>
  <c r="P903" i="3" l="1"/>
  <c r="Q903" i="3" s="1"/>
  <c r="R903" i="3" s="1"/>
  <c r="S903" i="3" s="1"/>
  <c r="AC903" i="3"/>
  <c r="Z903" i="3"/>
  <c r="AA903" i="3"/>
  <c r="I902" i="3"/>
  <c r="W902" i="3" s="1"/>
  <c r="J902" i="3"/>
  <c r="AD902" i="3" s="1"/>
  <c r="M902" i="3"/>
  <c r="N902" i="3" s="1"/>
  <c r="L902" i="3" l="1"/>
  <c r="T903" i="3"/>
  <c r="AH903" i="3" l="1"/>
  <c r="AG903" i="3"/>
  <c r="U902" i="3"/>
  <c r="D903" i="3" s="1"/>
  <c r="Y901" i="3"/>
  <c r="G903" i="3" l="1"/>
  <c r="E903" i="3"/>
  <c r="H903" i="3" s="1"/>
  <c r="I903" i="3" l="1"/>
  <c r="J903" i="3"/>
  <c r="AD903" i="3" s="1"/>
  <c r="M903" i="3"/>
  <c r="N903" i="3" s="1"/>
  <c r="K903" i="3"/>
  <c r="AE903" i="3" s="1"/>
  <c r="F903" i="3"/>
  <c r="V903" i="3" l="1"/>
  <c r="W903" i="3" s="1"/>
  <c r="A904" i="3"/>
  <c r="B904" i="3" s="1"/>
  <c r="L903" i="3"/>
  <c r="AC904" i="3" l="1"/>
  <c r="Z904" i="3"/>
  <c r="P904" i="3"/>
  <c r="Q904" i="3" s="1"/>
  <c r="R904" i="3" s="1"/>
  <c r="S904" i="3" s="1"/>
  <c r="AA904" i="3"/>
  <c r="U903" i="3"/>
  <c r="Y902" i="3"/>
  <c r="T904" i="3" l="1"/>
  <c r="AG904" i="3" s="1"/>
  <c r="AH904" i="3" l="1"/>
  <c r="E904" i="3"/>
  <c r="H904" i="3" s="1"/>
  <c r="K904" i="3" s="1"/>
  <c r="AE904" i="3" s="1"/>
  <c r="D904" i="3"/>
  <c r="F904" i="3" l="1"/>
  <c r="G904" i="3"/>
  <c r="I904" i="3" s="1"/>
  <c r="V904" i="3"/>
  <c r="A905" i="3"/>
  <c r="B905" i="3" s="1"/>
  <c r="M904" i="3" l="1"/>
  <c r="N904" i="3" s="1"/>
  <c r="J904" i="3"/>
  <c r="AA905" i="3"/>
  <c r="Z905" i="3"/>
  <c r="AC905" i="3"/>
  <c r="P905" i="3"/>
  <c r="Q905" i="3" s="1"/>
  <c r="R905" i="3" s="1"/>
  <c r="S905" i="3" s="1"/>
  <c r="W904" i="3"/>
  <c r="L904" i="3" l="1"/>
  <c r="U904" i="3" s="1"/>
  <c r="AD904" i="3"/>
  <c r="T905" i="3"/>
  <c r="AG905" i="3" l="1"/>
  <c r="Y903" i="3"/>
  <c r="AH905" i="3"/>
  <c r="D905" i="3"/>
  <c r="G905" i="3" s="1"/>
  <c r="E905" i="3"/>
  <c r="H905" i="3" s="1"/>
  <c r="K905" i="3" s="1"/>
  <c r="AE905" i="3" s="1"/>
  <c r="F905" i="3" l="1"/>
  <c r="V905" i="3"/>
  <c r="A906" i="3"/>
  <c r="B906" i="3" s="1"/>
  <c r="I905" i="3"/>
  <c r="J905" i="3"/>
  <c r="AD905" i="3" s="1"/>
  <c r="M905" i="3"/>
  <c r="N905" i="3" s="1"/>
  <c r="AA906" i="3" l="1"/>
  <c r="P906" i="3"/>
  <c r="Q906" i="3" s="1"/>
  <c r="R906" i="3" s="1"/>
  <c r="S906" i="3" s="1"/>
  <c r="Z906" i="3"/>
  <c r="AC906" i="3"/>
  <c r="L905" i="3"/>
  <c r="W905" i="3"/>
  <c r="T906" i="3" l="1"/>
  <c r="AG906" i="3" s="1"/>
  <c r="U905" i="3"/>
  <c r="Y904" i="3"/>
  <c r="AH906" i="3" l="1"/>
  <c r="E906" i="3"/>
  <c r="H906" i="3" s="1"/>
  <c r="K906" i="3" s="1"/>
  <c r="AE906" i="3" s="1"/>
  <c r="D906" i="3"/>
  <c r="F906" i="3" l="1"/>
  <c r="G906" i="3"/>
  <c r="I906" i="3" s="1"/>
  <c r="V906" i="3"/>
  <c r="A907" i="3"/>
  <c r="B907" i="3" s="1"/>
  <c r="M906" i="3" l="1"/>
  <c r="N906" i="3" s="1"/>
  <c r="J906" i="3"/>
  <c r="AD906" i="3" s="1"/>
  <c r="P907" i="3"/>
  <c r="Q907" i="3" s="1"/>
  <c r="R907" i="3" s="1"/>
  <c r="S907" i="3" s="1"/>
  <c r="Z907" i="3"/>
  <c r="AC907" i="3"/>
  <c r="AA907" i="3"/>
  <c r="W906" i="3"/>
  <c r="L906" i="3" l="1"/>
  <c r="U906" i="3" s="1"/>
  <c r="T907" i="3"/>
  <c r="Y905" i="3" l="1"/>
  <c r="AH907" i="3"/>
  <c r="D907" i="3"/>
  <c r="G907" i="3" s="1"/>
  <c r="AG907" i="3"/>
  <c r="E907" i="3"/>
  <c r="H907" i="3" s="1"/>
  <c r="K907" i="3" s="1"/>
  <c r="AE907" i="3" s="1"/>
  <c r="F907" i="3" l="1"/>
  <c r="V907" i="3"/>
  <c r="A908" i="3"/>
  <c r="B908" i="3" s="1"/>
  <c r="I907" i="3"/>
  <c r="J907" i="3"/>
  <c r="AD907" i="3" s="1"/>
  <c r="M907" i="3"/>
  <c r="N907" i="3" s="1"/>
  <c r="Z908" i="3" l="1"/>
  <c r="P908" i="3"/>
  <c r="Q908" i="3" s="1"/>
  <c r="R908" i="3" s="1"/>
  <c r="S908" i="3" s="1"/>
  <c r="AC908" i="3"/>
  <c r="AA908" i="3"/>
  <c r="L907" i="3"/>
  <c r="W907" i="3"/>
  <c r="T908" i="3" l="1"/>
  <c r="U907" i="3"/>
  <c r="Y906" i="3"/>
  <c r="D908" i="3" l="1"/>
  <c r="G908" i="3" s="1"/>
  <c r="E908" i="3"/>
  <c r="H908" i="3" s="1"/>
  <c r="K908" i="3" s="1"/>
  <c r="AE908" i="3" s="1"/>
  <c r="AG908" i="3"/>
  <c r="AH908" i="3"/>
  <c r="F908" i="3" l="1"/>
  <c r="V908" i="3"/>
  <c r="A909" i="3"/>
  <c r="B909" i="3" s="1"/>
  <c r="I908" i="3"/>
  <c r="J908" i="3"/>
  <c r="AD908" i="3" s="1"/>
  <c r="M908" i="3"/>
  <c r="N908" i="3" s="1"/>
  <c r="AC909" i="3" l="1"/>
  <c r="Z909" i="3"/>
  <c r="P909" i="3"/>
  <c r="Q909" i="3" s="1"/>
  <c r="R909" i="3" s="1"/>
  <c r="S909" i="3" s="1"/>
  <c r="AA909" i="3"/>
  <c r="L908" i="3"/>
  <c r="W908" i="3"/>
  <c r="T909" i="3" l="1"/>
  <c r="AH909" i="3" s="1"/>
  <c r="U908" i="3"/>
  <c r="Y907" i="3"/>
  <c r="E909" i="3" l="1"/>
  <c r="H909" i="3" s="1"/>
  <c r="K909" i="3" s="1"/>
  <c r="AE909" i="3" s="1"/>
  <c r="AG909" i="3"/>
  <c r="D909" i="3"/>
  <c r="F909" i="3" l="1"/>
  <c r="G909" i="3"/>
  <c r="I909" i="3" s="1"/>
  <c r="V909" i="3"/>
  <c r="A910" i="3"/>
  <c r="B910" i="3" s="1"/>
  <c r="J909" i="3" l="1"/>
  <c r="AD909" i="3" s="1"/>
  <c r="W909" i="3"/>
  <c r="M909" i="3"/>
  <c r="N909" i="3" s="1"/>
  <c r="Z910" i="3"/>
  <c r="AC910" i="3"/>
  <c r="P910" i="3"/>
  <c r="Q910" i="3" s="1"/>
  <c r="R910" i="3" s="1"/>
  <c r="S910" i="3" s="1"/>
  <c r="AA910" i="3"/>
  <c r="L909" i="3" l="1"/>
  <c r="U909" i="3" s="1"/>
  <c r="T910" i="3"/>
  <c r="Y908" i="3" l="1"/>
  <c r="AG910" i="3"/>
  <c r="D910" i="3"/>
  <c r="G910" i="3" s="1"/>
  <c r="E910" i="3"/>
  <c r="H910" i="3" s="1"/>
  <c r="K910" i="3" s="1"/>
  <c r="AE910" i="3" s="1"/>
  <c r="AH910" i="3"/>
  <c r="F910" i="3" l="1"/>
  <c r="V910" i="3"/>
  <c r="A911" i="3"/>
  <c r="B911" i="3" s="1"/>
  <c r="I910" i="3"/>
  <c r="J910" i="3"/>
  <c r="AD910" i="3" s="1"/>
  <c r="M910" i="3"/>
  <c r="N910" i="3" s="1"/>
  <c r="L910" i="3" l="1"/>
  <c r="P911" i="3"/>
  <c r="Q911" i="3" s="1"/>
  <c r="R911" i="3" s="1"/>
  <c r="S911" i="3" s="1"/>
  <c r="Z911" i="3"/>
  <c r="AA911" i="3"/>
  <c r="AC911" i="3"/>
  <c r="W910" i="3"/>
  <c r="T911" i="3" l="1"/>
  <c r="AG911" i="3" s="1"/>
  <c r="U910" i="3"/>
  <c r="Y909" i="3"/>
  <c r="AH911" i="3" l="1"/>
  <c r="D911" i="3"/>
  <c r="G911" i="3" s="1"/>
  <c r="E911" i="3"/>
  <c r="H911" i="3" s="1"/>
  <c r="K911" i="3" s="1"/>
  <c r="AE911" i="3" s="1"/>
  <c r="F911" i="3" l="1"/>
  <c r="V911" i="3"/>
  <c r="A912" i="3"/>
  <c r="B912" i="3" s="1"/>
  <c r="I911" i="3"/>
  <c r="J911" i="3"/>
  <c r="AD911" i="3" s="1"/>
  <c r="M911" i="3"/>
  <c r="N911" i="3" s="1"/>
  <c r="Z912" i="3" l="1"/>
  <c r="AA912" i="3"/>
  <c r="AC912" i="3"/>
  <c r="P912" i="3"/>
  <c r="Q912" i="3" s="1"/>
  <c r="R912" i="3" s="1"/>
  <c r="S912" i="3" s="1"/>
  <c r="L911" i="3"/>
  <c r="W911" i="3"/>
  <c r="T912" i="3" l="1"/>
  <c r="AH912" i="3" s="1"/>
  <c r="U911" i="3"/>
  <c r="Y910" i="3"/>
  <c r="AG912" i="3" l="1"/>
  <c r="D912" i="3"/>
  <c r="G912" i="3" s="1"/>
  <c r="E912" i="3"/>
  <c r="H912" i="3" s="1"/>
  <c r="K912" i="3" s="1"/>
  <c r="AE912" i="3" s="1"/>
  <c r="F912" i="3" l="1"/>
  <c r="V912" i="3"/>
  <c r="A913" i="3"/>
  <c r="B913" i="3" s="1"/>
  <c r="I912" i="3"/>
  <c r="J912" i="3"/>
  <c r="AD912" i="3" s="1"/>
  <c r="M912" i="3"/>
  <c r="N912" i="3" s="1"/>
  <c r="L912" i="3" l="1"/>
  <c r="P913" i="3"/>
  <c r="Q913" i="3" s="1"/>
  <c r="R913" i="3" s="1"/>
  <c r="S913" i="3" s="1"/>
  <c r="Z913" i="3"/>
  <c r="AA913" i="3"/>
  <c r="AC913" i="3"/>
  <c r="W912" i="3"/>
  <c r="T913" i="3" l="1"/>
  <c r="AG913" i="3" s="1"/>
  <c r="U912" i="3"/>
  <c r="Y911" i="3"/>
  <c r="E913" i="3" l="1"/>
  <c r="H913" i="3" s="1"/>
  <c r="K913" i="3" s="1"/>
  <c r="AE913" i="3" s="1"/>
  <c r="AH913" i="3"/>
  <c r="D913" i="3"/>
  <c r="F913" i="3" l="1"/>
  <c r="G913" i="3"/>
  <c r="I913" i="3" s="1"/>
  <c r="V913" i="3"/>
  <c r="A914" i="3"/>
  <c r="B914" i="3" s="1"/>
  <c r="M913" i="3" l="1"/>
  <c r="N913" i="3" s="1"/>
  <c r="J913" i="3"/>
  <c r="W913" i="3"/>
  <c r="AA914" i="3"/>
  <c r="Z914" i="3"/>
  <c r="P914" i="3"/>
  <c r="Q914" i="3" s="1"/>
  <c r="R914" i="3" s="1"/>
  <c r="S914" i="3" s="1"/>
  <c r="AC914" i="3"/>
  <c r="L913" i="3" l="1"/>
  <c r="U913" i="3" s="1"/>
  <c r="AD913" i="3"/>
  <c r="T914" i="3"/>
  <c r="Y912" i="3" l="1"/>
  <c r="AH914" i="3"/>
  <c r="AG914" i="3"/>
  <c r="D914" i="3"/>
  <c r="G914" i="3" s="1"/>
  <c r="E914" i="3"/>
  <c r="H914" i="3" s="1"/>
  <c r="K914" i="3" s="1"/>
  <c r="AE914" i="3" s="1"/>
  <c r="F914" i="3" l="1"/>
  <c r="V914" i="3"/>
  <c r="A915" i="3"/>
  <c r="B915" i="3" s="1"/>
  <c r="I914" i="3"/>
  <c r="J914" i="3"/>
  <c r="AD914" i="3" s="1"/>
  <c r="M914" i="3"/>
  <c r="N914" i="3" s="1"/>
  <c r="L914" i="3" l="1"/>
  <c r="AA915" i="3"/>
  <c r="AC915" i="3"/>
  <c r="P915" i="3"/>
  <c r="Q915" i="3" s="1"/>
  <c r="R915" i="3" s="1"/>
  <c r="S915" i="3" s="1"/>
  <c r="Z915" i="3"/>
  <c r="W914" i="3"/>
  <c r="T915" i="3" l="1"/>
  <c r="AG915" i="3" s="1"/>
  <c r="U914" i="3"/>
  <c r="Y913" i="3"/>
  <c r="E915" i="3" l="1"/>
  <c r="H915" i="3" s="1"/>
  <c r="K915" i="3" s="1"/>
  <c r="AE915" i="3" s="1"/>
  <c r="AH915" i="3"/>
  <c r="D915" i="3"/>
  <c r="F915" i="3" l="1"/>
  <c r="G915" i="3"/>
  <c r="I915" i="3" s="1"/>
  <c r="V915" i="3"/>
  <c r="A916" i="3"/>
  <c r="B916" i="3" s="1"/>
  <c r="M915" i="3" l="1"/>
  <c r="N915" i="3" s="1"/>
  <c r="J915" i="3"/>
  <c r="P916" i="3"/>
  <c r="Q916" i="3" s="1"/>
  <c r="R916" i="3" s="1"/>
  <c r="S916" i="3" s="1"/>
  <c r="AC916" i="3"/>
  <c r="AA916" i="3"/>
  <c r="Z916" i="3"/>
  <c r="W915" i="3"/>
  <c r="L915" i="3" l="1"/>
  <c r="U915" i="3" s="1"/>
  <c r="AD915" i="3"/>
  <c r="T916" i="3"/>
  <c r="Y914" i="3" l="1"/>
  <c r="D916" i="3"/>
  <c r="G916" i="3" s="1"/>
  <c r="E916" i="3"/>
  <c r="H916" i="3" s="1"/>
  <c r="K916" i="3" s="1"/>
  <c r="AE916" i="3" s="1"/>
  <c r="AG916" i="3"/>
  <c r="AH916" i="3"/>
  <c r="F916" i="3" l="1"/>
  <c r="I916" i="3"/>
  <c r="J916" i="3"/>
  <c r="AD916" i="3" s="1"/>
  <c r="M916" i="3"/>
  <c r="N916" i="3" s="1"/>
  <c r="V916" i="3"/>
  <c r="A917" i="3"/>
  <c r="B917" i="3" s="1"/>
  <c r="W916" i="3" l="1"/>
  <c r="AC917" i="3"/>
  <c r="AA917" i="3"/>
  <c r="Z917" i="3"/>
  <c r="P917" i="3"/>
  <c r="Q917" i="3" s="1"/>
  <c r="R917" i="3" s="1"/>
  <c r="S917" i="3" s="1"/>
  <c r="L916" i="3"/>
  <c r="T917" i="3" l="1"/>
  <c r="AH917" i="3" s="1"/>
  <c r="U916" i="3"/>
  <c r="Y915" i="3"/>
  <c r="AG917" i="3" l="1"/>
  <c r="D917" i="3"/>
  <c r="G917" i="3" s="1"/>
  <c r="E917" i="3"/>
  <c r="H917" i="3" s="1"/>
  <c r="K917" i="3" s="1"/>
  <c r="AE917" i="3" s="1"/>
  <c r="F917" i="3" l="1"/>
  <c r="I917" i="3"/>
  <c r="J917" i="3"/>
  <c r="AD917" i="3" s="1"/>
  <c r="M917" i="3"/>
  <c r="N917" i="3" s="1"/>
  <c r="V917" i="3"/>
  <c r="W917" i="3" s="1"/>
  <c r="A918" i="3"/>
  <c r="B918" i="3" s="1"/>
  <c r="AA918" i="3" l="1"/>
  <c r="AC918" i="3"/>
  <c r="P918" i="3"/>
  <c r="Q918" i="3" s="1"/>
  <c r="R918" i="3" s="1"/>
  <c r="S918" i="3" s="1"/>
  <c r="Z918" i="3"/>
  <c r="L917" i="3"/>
  <c r="T918" i="3" l="1"/>
  <c r="AG918" i="3" s="1"/>
  <c r="U917" i="3"/>
  <c r="Y916" i="3"/>
  <c r="E918" i="3" l="1"/>
  <c r="H918" i="3" s="1"/>
  <c r="K918" i="3" s="1"/>
  <c r="AE918" i="3" s="1"/>
  <c r="AH918" i="3"/>
  <c r="D918" i="3"/>
  <c r="F918" i="3" l="1"/>
  <c r="G918" i="3"/>
  <c r="I918" i="3" s="1"/>
  <c r="V918" i="3"/>
  <c r="A919" i="3"/>
  <c r="B919" i="3" s="1"/>
  <c r="M918" i="3" l="1"/>
  <c r="N918" i="3" s="1"/>
  <c r="J918" i="3"/>
  <c r="AA919" i="3"/>
  <c r="AC919" i="3"/>
  <c r="P919" i="3"/>
  <c r="Q919" i="3" s="1"/>
  <c r="R919" i="3" s="1"/>
  <c r="S919" i="3" s="1"/>
  <c r="Z919" i="3"/>
  <c r="W918" i="3"/>
  <c r="L918" i="3" l="1"/>
  <c r="U918" i="3" s="1"/>
  <c r="AD918" i="3"/>
  <c r="T919" i="3"/>
  <c r="Y917" i="3" l="1"/>
  <c r="AG919" i="3"/>
  <c r="AH919" i="3"/>
  <c r="E919" i="3"/>
  <c r="H919" i="3" s="1"/>
  <c r="K919" i="3" s="1"/>
  <c r="AE919" i="3" s="1"/>
  <c r="D919" i="3"/>
  <c r="G919" i="3" s="1"/>
  <c r="F919" i="3" l="1"/>
  <c r="I919" i="3"/>
  <c r="J919" i="3"/>
  <c r="AD919" i="3" s="1"/>
  <c r="M919" i="3"/>
  <c r="N919" i="3" s="1"/>
  <c r="V919" i="3"/>
  <c r="A920" i="3"/>
  <c r="B920" i="3" s="1"/>
  <c r="W919" i="3" l="1"/>
  <c r="AA920" i="3"/>
  <c r="P920" i="3"/>
  <c r="Q920" i="3" s="1"/>
  <c r="R920" i="3" s="1"/>
  <c r="S920" i="3" s="1"/>
  <c r="Z920" i="3"/>
  <c r="AC920" i="3"/>
  <c r="L919" i="3"/>
  <c r="T920" i="3" l="1"/>
  <c r="AH920" i="3" s="1"/>
  <c r="U919" i="3"/>
  <c r="Y918" i="3"/>
  <c r="AG920" i="3" l="1"/>
  <c r="E920" i="3"/>
  <c r="H920" i="3" s="1"/>
  <c r="K920" i="3" s="1"/>
  <c r="AE920" i="3" s="1"/>
  <c r="D920" i="3"/>
  <c r="F920" i="3" l="1"/>
  <c r="G920" i="3"/>
  <c r="V920" i="3"/>
  <c r="A921" i="3"/>
  <c r="B921" i="3" s="1"/>
  <c r="P921" i="3" l="1"/>
  <c r="Q921" i="3" s="1"/>
  <c r="R921" i="3" s="1"/>
  <c r="S921" i="3" s="1"/>
  <c r="AA921" i="3"/>
  <c r="AC921" i="3"/>
  <c r="Z921" i="3"/>
  <c r="I920" i="3"/>
  <c r="W920" i="3" s="1"/>
  <c r="J920" i="3"/>
  <c r="AD920" i="3" s="1"/>
  <c r="M920" i="3"/>
  <c r="N920" i="3" s="1"/>
  <c r="L920" i="3" l="1"/>
  <c r="T921" i="3"/>
  <c r="AH921" i="3" l="1"/>
  <c r="U920" i="3"/>
  <c r="E921" i="3" s="1"/>
  <c r="H921" i="3" s="1"/>
  <c r="AG921" i="3"/>
  <c r="Y919" i="3"/>
  <c r="D921" i="3" l="1"/>
  <c r="F921" i="3" s="1"/>
  <c r="K921" i="3"/>
  <c r="AE921" i="3" s="1"/>
  <c r="G921" i="3" l="1"/>
  <c r="I921" i="3" s="1"/>
  <c r="V921" i="3"/>
  <c r="A922" i="3"/>
  <c r="B922" i="3" s="1"/>
  <c r="M921" i="3" l="1"/>
  <c r="N921" i="3" s="1"/>
  <c r="J921" i="3"/>
  <c r="W921" i="3"/>
  <c r="P922" i="3"/>
  <c r="Q922" i="3" s="1"/>
  <c r="R922" i="3" s="1"/>
  <c r="S922" i="3" s="1"/>
  <c r="AA922" i="3"/>
  <c r="Z922" i="3"/>
  <c r="AC922" i="3"/>
  <c r="L921" i="3" l="1"/>
  <c r="U921" i="3" s="1"/>
  <c r="AD921" i="3"/>
  <c r="T922" i="3"/>
  <c r="Y920" i="3" l="1"/>
  <c r="E922" i="3"/>
  <c r="H922" i="3" s="1"/>
  <c r="K922" i="3" s="1"/>
  <c r="AE922" i="3" s="1"/>
  <c r="AG922" i="3"/>
  <c r="AH922" i="3"/>
  <c r="D922" i="3"/>
  <c r="F922" i="3" l="1"/>
  <c r="G922" i="3"/>
  <c r="V922" i="3"/>
  <c r="A923" i="3"/>
  <c r="B923" i="3" s="1"/>
  <c r="P923" i="3" l="1"/>
  <c r="Q923" i="3" s="1"/>
  <c r="R923" i="3" s="1"/>
  <c r="S923" i="3" s="1"/>
  <c r="AA923" i="3"/>
  <c r="Z923" i="3"/>
  <c r="AC923" i="3"/>
  <c r="I922" i="3"/>
  <c r="W922" i="3" s="1"/>
  <c r="J922" i="3"/>
  <c r="AD922" i="3" s="1"/>
  <c r="M922" i="3"/>
  <c r="N922" i="3" s="1"/>
  <c r="L922" i="3" l="1"/>
  <c r="T923" i="3"/>
  <c r="U922" i="3" l="1"/>
  <c r="D923" i="3" s="1"/>
  <c r="AH923" i="3"/>
  <c r="AG923" i="3"/>
  <c r="Y921" i="3"/>
  <c r="E923" i="3" l="1"/>
  <c r="H923" i="3" s="1"/>
  <c r="K923" i="3" s="1"/>
  <c r="AE923" i="3" s="1"/>
  <c r="G923" i="3"/>
  <c r="F923" i="3" l="1"/>
  <c r="V923" i="3"/>
  <c r="A924" i="3"/>
  <c r="B924" i="3" s="1"/>
  <c r="I923" i="3"/>
  <c r="J923" i="3"/>
  <c r="AD923" i="3" s="1"/>
  <c r="M923" i="3"/>
  <c r="N923" i="3" s="1"/>
  <c r="W923" i="3" l="1"/>
  <c r="L923" i="3"/>
  <c r="AC924" i="3"/>
  <c r="P924" i="3"/>
  <c r="Q924" i="3" s="1"/>
  <c r="R924" i="3" s="1"/>
  <c r="S924" i="3" s="1"/>
  <c r="AA924" i="3"/>
  <c r="Z924" i="3"/>
  <c r="T924" i="3" l="1"/>
  <c r="U923" i="3"/>
  <c r="Y922" i="3"/>
  <c r="E924" i="3" l="1"/>
  <c r="H924" i="3" s="1"/>
  <c r="K924" i="3" s="1"/>
  <c r="AE924" i="3" s="1"/>
  <c r="AG924" i="3"/>
  <c r="D924" i="3"/>
  <c r="AH924" i="3"/>
  <c r="F924" i="3" l="1"/>
  <c r="G924" i="3"/>
  <c r="J924" i="3" s="1"/>
  <c r="AD924" i="3" s="1"/>
  <c r="V924" i="3"/>
  <c r="A925" i="3"/>
  <c r="B925" i="3" s="1"/>
  <c r="M924" i="3" l="1"/>
  <c r="N924" i="3" s="1"/>
  <c r="I924" i="3"/>
  <c r="W924" i="3" s="1"/>
  <c r="Z925" i="3"/>
  <c r="AC925" i="3"/>
  <c r="P925" i="3"/>
  <c r="Q925" i="3" s="1"/>
  <c r="R925" i="3" s="1"/>
  <c r="S925" i="3" s="1"/>
  <c r="AA925" i="3"/>
  <c r="L924" i="3"/>
  <c r="T925" i="3" l="1"/>
  <c r="AG925" i="3" s="1"/>
  <c r="U924" i="3"/>
  <c r="Y923" i="3"/>
  <c r="E925" i="3" l="1"/>
  <c r="H925" i="3" s="1"/>
  <c r="K925" i="3" s="1"/>
  <c r="AE925" i="3" s="1"/>
  <c r="AH925" i="3"/>
  <c r="D925" i="3"/>
  <c r="F925" i="3" l="1"/>
  <c r="G925" i="3"/>
  <c r="I925" i="3" s="1"/>
  <c r="V925" i="3"/>
  <c r="A926" i="3"/>
  <c r="B926" i="3" s="1"/>
  <c r="W925" i="3" l="1"/>
  <c r="J925" i="3"/>
  <c r="M925" i="3"/>
  <c r="N925" i="3" s="1"/>
  <c r="P926" i="3"/>
  <c r="Q926" i="3" s="1"/>
  <c r="R926" i="3" s="1"/>
  <c r="S926" i="3" s="1"/>
  <c r="AC926" i="3"/>
  <c r="Z926" i="3"/>
  <c r="AA926" i="3"/>
  <c r="L925" i="3" l="1"/>
  <c r="U925" i="3" s="1"/>
  <c r="AD925" i="3"/>
  <c r="T926" i="3"/>
  <c r="Y924" i="3" l="1"/>
  <c r="AH926" i="3"/>
  <c r="E926" i="3"/>
  <c r="H926" i="3" s="1"/>
  <c r="K926" i="3" s="1"/>
  <c r="AE926" i="3" s="1"/>
  <c r="AG926" i="3"/>
  <c r="D926" i="3"/>
  <c r="G926" i="3" s="1"/>
  <c r="F926" i="3" l="1"/>
  <c r="I926" i="3"/>
  <c r="J926" i="3"/>
  <c r="AD926" i="3" s="1"/>
  <c r="M926" i="3"/>
  <c r="N926" i="3" s="1"/>
  <c r="V926" i="3"/>
  <c r="A927" i="3"/>
  <c r="B927" i="3" s="1"/>
  <c r="W926" i="3" l="1"/>
  <c r="AA927" i="3"/>
  <c r="AC927" i="3"/>
  <c r="Z927" i="3"/>
  <c r="P927" i="3"/>
  <c r="Q927" i="3" s="1"/>
  <c r="R927" i="3" s="1"/>
  <c r="S927" i="3" s="1"/>
  <c r="L926" i="3"/>
  <c r="T927" i="3" l="1"/>
  <c r="AG927" i="3" s="1"/>
  <c r="U926" i="3"/>
  <c r="Y925" i="3"/>
  <c r="E927" i="3" l="1"/>
  <c r="H927" i="3" s="1"/>
  <c r="K927" i="3" s="1"/>
  <c r="AE927" i="3" s="1"/>
  <c r="AH927" i="3"/>
  <c r="D927" i="3"/>
  <c r="F927" i="3" l="1"/>
  <c r="G927" i="3"/>
  <c r="J927" i="3" s="1"/>
  <c r="AD927" i="3" s="1"/>
  <c r="V927" i="3"/>
  <c r="A928" i="3"/>
  <c r="B928" i="3" s="1"/>
  <c r="M927" i="3" l="1"/>
  <c r="N927" i="3" s="1"/>
  <c r="I927" i="3"/>
  <c r="W927" i="3" s="1"/>
  <c r="L927" i="3"/>
  <c r="AC928" i="3"/>
  <c r="P928" i="3"/>
  <c r="Q928" i="3" s="1"/>
  <c r="R928" i="3" s="1"/>
  <c r="S928" i="3" s="1"/>
  <c r="AA928" i="3"/>
  <c r="Z928" i="3"/>
  <c r="T928" i="3" l="1"/>
  <c r="AH928" i="3" s="1"/>
  <c r="U927" i="3"/>
  <c r="Y926" i="3"/>
  <c r="E928" i="3" l="1"/>
  <c r="H928" i="3" s="1"/>
  <c r="K928" i="3" s="1"/>
  <c r="AE928" i="3" s="1"/>
  <c r="AG928" i="3"/>
  <c r="D928" i="3"/>
  <c r="F928" i="3" l="1"/>
  <c r="G928" i="3"/>
  <c r="J928" i="3" s="1"/>
  <c r="AD928" i="3" s="1"/>
  <c r="V928" i="3"/>
  <c r="A929" i="3"/>
  <c r="B929" i="3" s="1"/>
  <c r="M928" i="3" l="1"/>
  <c r="N928" i="3" s="1"/>
  <c r="I928" i="3"/>
  <c r="W928" i="3" s="1"/>
  <c r="AC929" i="3"/>
  <c r="Z929" i="3"/>
  <c r="P929" i="3"/>
  <c r="Q929" i="3" s="1"/>
  <c r="R929" i="3" s="1"/>
  <c r="S929" i="3" s="1"/>
  <c r="AA929" i="3"/>
  <c r="L928" i="3"/>
  <c r="T929" i="3" l="1"/>
  <c r="AH929" i="3" s="1"/>
  <c r="U928" i="3"/>
  <c r="Y927" i="3"/>
  <c r="E929" i="3" l="1"/>
  <c r="H929" i="3" s="1"/>
  <c r="K929" i="3" s="1"/>
  <c r="AE929" i="3" s="1"/>
  <c r="D929" i="3"/>
  <c r="AG929" i="3"/>
  <c r="F929" i="3" l="1"/>
  <c r="G929" i="3"/>
  <c r="I929" i="3" s="1"/>
  <c r="V929" i="3"/>
  <c r="A930" i="3"/>
  <c r="B930" i="3" s="1"/>
  <c r="M929" i="3" l="1"/>
  <c r="N929" i="3" s="1"/>
  <c r="J929" i="3"/>
  <c r="W929" i="3"/>
  <c r="AA930" i="3"/>
  <c r="P930" i="3"/>
  <c r="Q930" i="3" s="1"/>
  <c r="R930" i="3" s="1"/>
  <c r="S930" i="3" s="1"/>
  <c r="Z930" i="3"/>
  <c r="AC930" i="3"/>
  <c r="L929" i="3" l="1"/>
  <c r="U929" i="3" s="1"/>
  <c r="AD929" i="3"/>
  <c r="T930" i="3"/>
  <c r="AH930" i="3" l="1"/>
  <c r="Y928" i="3"/>
  <c r="AG930" i="3"/>
  <c r="D930" i="3"/>
  <c r="E930" i="3"/>
  <c r="H930" i="3" s="1"/>
  <c r="K930" i="3" s="1"/>
  <c r="AE930" i="3" s="1"/>
  <c r="F930" i="3" l="1"/>
  <c r="G930" i="3"/>
  <c r="M930" i="3" s="1"/>
  <c r="N930" i="3" s="1"/>
  <c r="V930" i="3"/>
  <c r="A931" i="3"/>
  <c r="B931" i="3" s="1"/>
  <c r="J930" i="3" l="1"/>
  <c r="AD930" i="3" s="1"/>
  <c r="I930" i="3"/>
  <c r="W930" i="3" s="1"/>
  <c r="AC931" i="3"/>
  <c r="AA931" i="3"/>
  <c r="Z931" i="3"/>
  <c r="P931" i="3"/>
  <c r="Q931" i="3" s="1"/>
  <c r="R931" i="3" s="1"/>
  <c r="S931" i="3" s="1"/>
  <c r="L930" i="3" l="1"/>
  <c r="U930" i="3" s="1"/>
  <c r="T931" i="3"/>
  <c r="Y929" i="3" l="1"/>
  <c r="AH931" i="3"/>
  <c r="AG931" i="3"/>
  <c r="E931" i="3"/>
  <c r="H931" i="3" s="1"/>
  <c r="K931" i="3" s="1"/>
  <c r="AE931" i="3" s="1"/>
  <c r="D931" i="3"/>
  <c r="F931" i="3" l="1"/>
  <c r="G931" i="3"/>
  <c r="I931" i="3" s="1"/>
  <c r="V931" i="3"/>
  <c r="A932" i="3"/>
  <c r="B932" i="3" s="1"/>
  <c r="M931" i="3" l="1"/>
  <c r="N931" i="3" s="1"/>
  <c r="J931" i="3"/>
  <c r="AC932" i="3"/>
  <c r="P932" i="3"/>
  <c r="Q932" i="3" s="1"/>
  <c r="R932" i="3" s="1"/>
  <c r="S932" i="3" s="1"/>
  <c r="AA932" i="3"/>
  <c r="Z932" i="3"/>
  <c r="W931" i="3"/>
  <c r="L931" i="3" l="1"/>
  <c r="U931" i="3" s="1"/>
  <c r="AD931" i="3"/>
  <c r="T932" i="3"/>
  <c r="Y930" i="3" l="1"/>
  <c r="AG932" i="3"/>
  <c r="AH932" i="3"/>
  <c r="E932" i="3"/>
  <c r="H932" i="3" s="1"/>
  <c r="K932" i="3" s="1"/>
  <c r="AE932" i="3" s="1"/>
  <c r="D932" i="3"/>
  <c r="F932" i="3" l="1"/>
  <c r="G932" i="3"/>
  <c r="I932" i="3" s="1"/>
  <c r="V932" i="3"/>
  <c r="A933" i="3"/>
  <c r="B933" i="3" s="1"/>
  <c r="M932" i="3" l="1"/>
  <c r="N932" i="3" s="1"/>
  <c r="J932" i="3"/>
  <c r="W932" i="3"/>
  <c r="P933" i="3"/>
  <c r="Q933" i="3" s="1"/>
  <c r="R933" i="3" s="1"/>
  <c r="S933" i="3" s="1"/>
  <c r="AC933" i="3"/>
  <c r="AA933" i="3"/>
  <c r="Z933" i="3"/>
  <c r="L932" i="3" l="1"/>
  <c r="U932" i="3" s="1"/>
  <c r="AD932" i="3"/>
  <c r="T933" i="3"/>
  <c r="AG933" i="3" l="1"/>
  <c r="Y931" i="3"/>
  <c r="D933" i="3"/>
  <c r="G933" i="3" s="1"/>
  <c r="AH933" i="3"/>
  <c r="E933" i="3"/>
  <c r="H933" i="3" s="1"/>
  <c r="K933" i="3" s="1"/>
  <c r="AE933" i="3" s="1"/>
  <c r="F933" i="3" l="1"/>
  <c r="I933" i="3"/>
  <c r="J933" i="3"/>
  <c r="AD933" i="3" s="1"/>
  <c r="M933" i="3"/>
  <c r="N933" i="3" s="1"/>
  <c r="V933" i="3"/>
  <c r="A934" i="3"/>
  <c r="B934" i="3" s="1"/>
  <c r="W933" i="3" l="1"/>
  <c r="Z934" i="3"/>
  <c r="AA934" i="3"/>
  <c r="P934" i="3"/>
  <c r="Q934" i="3" s="1"/>
  <c r="R934" i="3" s="1"/>
  <c r="S934" i="3" s="1"/>
  <c r="AC934" i="3"/>
  <c r="L933" i="3"/>
  <c r="T934" i="3" l="1"/>
  <c r="AH934" i="3" s="1"/>
  <c r="U933" i="3"/>
  <c r="Y932" i="3"/>
  <c r="AG934" i="3" l="1"/>
  <c r="D934" i="3"/>
  <c r="E934" i="3"/>
  <c r="H934" i="3" s="1"/>
  <c r="K934" i="3" s="1"/>
  <c r="AE934" i="3" s="1"/>
  <c r="F934" i="3" l="1"/>
  <c r="G934" i="3"/>
  <c r="I934" i="3" s="1"/>
  <c r="V934" i="3"/>
  <c r="A935" i="3"/>
  <c r="B935" i="3" s="1"/>
  <c r="M934" i="3" l="1"/>
  <c r="N934" i="3" s="1"/>
  <c r="J934" i="3"/>
  <c r="AC935" i="3"/>
  <c r="P935" i="3"/>
  <c r="Q935" i="3" s="1"/>
  <c r="R935" i="3" s="1"/>
  <c r="S935" i="3" s="1"/>
  <c r="AA935" i="3"/>
  <c r="Z935" i="3"/>
  <c r="W934" i="3"/>
  <c r="L934" i="3" l="1"/>
  <c r="U934" i="3" s="1"/>
  <c r="AD934" i="3"/>
  <c r="T935" i="3"/>
  <c r="Y933" i="3" l="1"/>
  <c r="AG935" i="3"/>
  <c r="D935" i="3"/>
  <c r="G935" i="3" s="1"/>
  <c r="AH935" i="3"/>
  <c r="E935" i="3"/>
  <c r="H935" i="3" s="1"/>
  <c r="K935" i="3" s="1"/>
  <c r="AE935" i="3" s="1"/>
  <c r="F935" i="3" l="1"/>
  <c r="I935" i="3"/>
  <c r="J935" i="3"/>
  <c r="AD935" i="3" s="1"/>
  <c r="M935" i="3"/>
  <c r="N935" i="3" s="1"/>
  <c r="V935" i="3"/>
  <c r="A936" i="3"/>
  <c r="B936" i="3" s="1"/>
  <c r="W935" i="3" l="1"/>
  <c r="AA936" i="3"/>
  <c r="AC936" i="3"/>
  <c r="Z936" i="3"/>
  <c r="P936" i="3"/>
  <c r="Q936" i="3" s="1"/>
  <c r="R936" i="3" s="1"/>
  <c r="S936" i="3" s="1"/>
  <c r="L935" i="3"/>
  <c r="T936" i="3" l="1"/>
  <c r="AH936" i="3" s="1"/>
  <c r="U935" i="3"/>
  <c r="Y934" i="3"/>
  <c r="AG936" i="3" l="1"/>
  <c r="E936" i="3"/>
  <c r="H936" i="3" s="1"/>
  <c r="K936" i="3" s="1"/>
  <c r="AE936" i="3" s="1"/>
  <c r="D936" i="3"/>
  <c r="F936" i="3" l="1"/>
  <c r="G936" i="3"/>
  <c r="I936" i="3" s="1"/>
  <c r="V936" i="3"/>
  <c r="A937" i="3"/>
  <c r="B937" i="3" s="1"/>
  <c r="J936" i="3" l="1"/>
  <c r="M936" i="3"/>
  <c r="N936" i="3" s="1"/>
  <c r="W936" i="3"/>
  <c r="AC937" i="3"/>
  <c r="P937" i="3"/>
  <c r="Q937" i="3" s="1"/>
  <c r="R937" i="3" s="1"/>
  <c r="S937" i="3" s="1"/>
  <c r="AA937" i="3"/>
  <c r="Z937" i="3"/>
  <c r="L936" i="3" l="1"/>
  <c r="U936" i="3" s="1"/>
  <c r="AD936" i="3"/>
  <c r="T937" i="3"/>
  <c r="Y935" i="3" l="1"/>
  <c r="AH937" i="3"/>
  <c r="AG937" i="3"/>
  <c r="D937" i="3"/>
  <c r="G937" i="3" s="1"/>
  <c r="E937" i="3"/>
  <c r="H937" i="3" s="1"/>
  <c r="K937" i="3" l="1"/>
  <c r="AE937" i="3" s="1"/>
  <c r="I937" i="3"/>
  <c r="J937" i="3"/>
  <c r="AD937" i="3" s="1"/>
  <c r="M937" i="3"/>
  <c r="N937" i="3" s="1"/>
  <c r="F937" i="3"/>
  <c r="L937" i="3" l="1"/>
  <c r="V937" i="3"/>
  <c r="W937" i="3" s="1"/>
  <c r="A938" i="3"/>
  <c r="B938" i="3" s="1"/>
  <c r="AA938" i="3" l="1"/>
  <c r="AC938" i="3"/>
  <c r="Z938" i="3"/>
  <c r="P938" i="3"/>
  <c r="Q938" i="3" s="1"/>
  <c r="R938" i="3" s="1"/>
  <c r="S938" i="3" s="1"/>
  <c r="U937" i="3"/>
  <c r="Y936" i="3"/>
  <c r="T938" i="3" l="1"/>
  <c r="D938" i="3" s="1"/>
  <c r="E938" i="3" l="1"/>
  <c r="H938" i="3" s="1"/>
  <c r="K938" i="3" s="1"/>
  <c r="AE938" i="3" s="1"/>
  <c r="AH938" i="3"/>
  <c r="AG938" i="3"/>
  <c r="G938" i="3"/>
  <c r="F938" i="3" l="1"/>
  <c r="V938" i="3"/>
  <c r="A939" i="3"/>
  <c r="B939" i="3" s="1"/>
  <c r="I938" i="3"/>
  <c r="J938" i="3"/>
  <c r="AD938" i="3" s="1"/>
  <c r="M938" i="3"/>
  <c r="N938" i="3" s="1"/>
  <c r="L938" i="3" l="1"/>
  <c r="P939" i="3"/>
  <c r="Q939" i="3" s="1"/>
  <c r="R939" i="3" s="1"/>
  <c r="S939" i="3" s="1"/>
  <c r="AC939" i="3"/>
  <c r="AA939" i="3"/>
  <c r="Z939" i="3"/>
  <c r="W938" i="3"/>
  <c r="T939" i="3" l="1"/>
  <c r="U938" i="3"/>
  <c r="Y937" i="3"/>
  <c r="D939" i="3" l="1"/>
  <c r="G939" i="3" s="1"/>
  <c r="AG939" i="3"/>
  <c r="AH939" i="3"/>
  <c r="E939" i="3"/>
  <c r="H939" i="3" s="1"/>
  <c r="K939" i="3" s="1"/>
  <c r="AE939" i="3" s="1"/>
  <c r="F939" i="3" l="1"/>
  <c r="V939" i="3"/>
  <c r="A940" i="3"/>
  <c r="B940" i="3" s="1"/>
  <c r="I939" i="3"/>
  <c r="J939" i="3"/>
  <c r="AD939" i="3" s="1"/>
  <c r="M939" i="3"/>
  <c r="N939" i="3" s="1"/>
  <c r="Z940" i="3" l="1"/>
  <c r="P940" i="3"/>
  <c r="Q940" i="3" s="1"/>
  <c r="R940" i="3" s="1"/>
  <c r="S940" i="3" s="1"/>
  <c r="AA940" i="3"/>
  <c r="AC940" i="3"/>
  <c r="L939" i="3"/>
  <c r="W939" i="3"/>
  <c r="T940" i="3" l="1"/>
  <c r="AH940" i="3" s="1"/>
  <c r="U939" i="3"/>
  <c r="Y938" i="3"/>
  <c r="D940" i="3" l="1"/>
  <c r="G940" i="3" s="1"/>
  <c r="E940" i="3"/>
  <c r="H940" i="3" s="1"/>
  <c r="K940" i="3" s="1"/>
  <c r="AE940" i="3" s="1"/>
  <c r="AG940" i="3"/>
  <c r="F940" i="3" l="1"/>
  <c r="V940" i="3"/>
  <c r="A941" i="3"/>
  <c r="B941" i="3" s="1"/>
  <c r="I940" i="3"/>
  <c r="J940" i="3"/>
  <c r="AD940" i="3" s="1"/>
  <c r="M940" i="3"/>
  <c r="N940" i="3" s="1"/>
  <c r="AC941" i="3" l="1"/>
  <c r="P941" i="3"/>
  <c r="Q941" i="3" s="1"/>
  <c r="R941" i="3" s="1"/>
  <c r="S941" i="3" s="1"/>
  <c r="AA941" i="3"/>
  <c r="Z941" i="3"/>
  <c r="L940" i="3"/>
  <c r="W940" i="3"/>
  <c r="T941" i="3" l="1"/>
  <c r="AH941" i="3" s="1"/>
  <c r="U940" i="3"/>
  <c r="Y939" i="3"/>
  <c r="AG941" i="3" l="1"/>
  <c r="D941" i="3"/>
  <c r="G941" i="3" s="1"/>
  <c r="E941" i="3"/>
  <c r="H941" i="3" s="1"/>
  <c r="K941" i="3" s="1"/>
  <c r="AE941" i="3" s="1"/>
  <c r="F941" i="3" l="1"/>
  <c r="V941" i="3"/>
  <c r="A942" i="3"/>
  <c r="B942" i="3" s="1"/>
  <c r="I941" i="3"/>
  <c r="J941" i="3"/>
  <c r="AD941" i="3" s="1"/>
  <c r="M941" i="3"/>
  <c r="N941" i="3" s="1"/>
  <c r="L941" i="3" l="1"/>
  <c r="AA942" i="3"/>
  <c r="Z942" i="3"/>
  <c r="AC942" i="3"/>
  <c r="P942" i="3"/>
  <c r="Q942" i="3" s="1"/>
  <c r="R942" i="3" s="1"/>
  <c r="S942" i="3" s="1"/>
  <c r="W941" i="3"/>
  <c r="T942" i="3" l="1"/>
  <c r="AG942" i="3" s="1"/>
  <c r="U941" i="3"/>
  <c r="Y940" i="3"/>
  <c r="AH942" i="3" l="1"/>
  <c r="E942" i="3"/>
  <c r="H942" i="3" s="1"/>
  <c r="K942" i="3" s="1"/>
  <c r="AE942" i="3" s="1"/>
  <c r="D942" i="3"/>
  <c r="F942" i="3" l="1"/>
  <c r="G942" i="3"/>
  <c r="I942" i="3" s="1"/>
  <c r="V942" i="3"/>
  <c r="A943" i="3"/>
  <c r="B943" i="3" s="1"/>
  <c r="J942" i="3" l="1"/>
  <c r="M942" i="3"/>
  <c r="N942" i="3" s="1"/>
  <c r="AC943" i="3"/>
  <c r="P943" i="3"/>
  <c r="Q943" i="3" s="1"/>
  <c r="R943" i="3" s="1"/>
  <c r="S943" i="3" s="1"/>
  <c r="Z943" i="3"/>
  <c r="AA943" i="3"/>
  <c r="W942" i="3"/>
  <c r="L942" i="3" l="1"/>
  <c r="U942" i="3" s="1"/>
  <c r="AD942" i="3"/>
  <c r="T943" i="3"/>
  <c r="Y941" i="3" l="1"/>
  <c r="E943" i="3"/>
  <c r="H943" i="3" s="1"/>
  <c r="K943" i="3" s="1"/>
  <c r="AE943" i="3" s="1"/>
  <c r="AG943" i="3"/>
  <c r="D943" i="3"/>
  <c r="AH943" i="3"/>
  <c r="F943" i="3" l="1"/>
  <c r="G943" i="3"/>
  <c r="I943" i="3" s="1"/>
  <c r="V943" i="3"/>
  <c r="A944" i="3"/>
  <c r="B944" i="3" s="1"/>
  <c r="M943" i="3" l="1"/>
  <c r="N943" i="3" s="1"/>
  <c r="J943" i="3"/>
  <c r="Z944" i="3"/>
  <c r="P944" i="3"/>
  <c r="Q944" i="3" s="1"/>
  <c r="R944" i="3" s="1"/>
  <c r="S944" i="3" s="1"/>
  <c r="AC944" i="3"/>
  <c r="AA944" i="3"/>
  <c r="W943" i="3"/>
  <c r="L943" i="3" l="1"/>
  <c r="U943" i="3" s="1"/>
  <c r="AD943" i="3"/>
  <c r="T944" i="3"/>
  <c r="Y942" i="3" l="1"/>
  <c r="AH944" i="3"/>
  <c r="AG944" i="3"/>
  <c r="D944" i="3"/>
  <c r="G944" i="3" s="1"/>
  <c r="E944" i="3"/>
  <c r="H944" i="3" s="1"/>
  <c r="K944" i="3" s="1"/>
  <c r="AE944" i="3" s="1"/>
  <c r="F944" i="3" l="1"/>
  <c r="V944" i="3"/>
  <c r="A945" i="3"/>
  <c r="B945" i="3" s="1"/>
  <c r="I944" i="3"/>
  <c r="J944" i="3"/>
  <c r="AD944" i="3" s="1"/>
  <c r="M944" i="3"/>
  <c r="N944" i="3" s="1"/>
  <c r="Z945" i="3" l="1"/>
  <c r="AC945" i="3"/>
  <c r="P945" i="3"/>
  <c r="Q945" i="3" s="1"/>
  <c r="R945" i="3" s="1"/>
  <c r="S945" i="3" s="1"/>
  <c r="AA945" i="3"/>
  <c r="L944" i="3"/>
  <c r="W944" i="3"/>
  <c r="T945" i="3" l="1"/>
  <c r="U944" i="3"/>
  <c r="Y943" i="3"/>
  <c r="D945" i="3" l="1"/>
  <c r="G945" i="3" s="1"/>
  <c r="E945" i="3"/>
  <c r="H945" i="3" s="1"/>
  <c r="K945" i="3" s="1"/>
  <c r="AE945" i="3" s="1"/>
  <c r="AH945" i="3"/>
  <c r="AG945" i="3"/>
  <c r="F945" i="3" l="1"/>
  <c r="I945" i="3"/>
  <c r="J945" i="3"/>
  <c r="AD945" i="3" s="1"/>
  <c r="M945" i="3"/>
  <c r="N945" i="3" s="1"/>
  <c r="V945" i="3"/>
  <c r="A946" i="3"/>
  <c r="B946" i="3" s="1"/>
  <c r="W945" i="3" l="1"/>
  <c r="Z946" i="3"/>
  <c r="AC946" i="3"/>
  <c r="AA946" i="3"/>
  <c r="P946" i="3"/>
  <c r="Q946" i="3" s="1"/>
  <c r="R946" i="3" s="1"/>
  <c r="S946" i="3" s="1"/>
  <c r="L945" i="3"/>
  <c r="T946" i="3" l="1"/>
  <c r="AH946" i="3" s="1"/>
  <c r="U945" i="3"/>
  <c r="Y944" i="3"/>
  <c r="D946" i="3" l="1"/>
  <c r="G946" i="3" s="1"/>
  <c r="AG946" i="3"/>
  <c r="E946" i="3"/>
  <c r="H946" i="3" s="1"/>
  <c r="K946" i="3" s="1"/>
  <c r="AE946" i="3" s="1"/>
  <c r="F946" i="3" l="1"/>
  <c r="I946" i="3"/>
  <c r="J946" i="3"/>
  <c r="AD946" i="3" s="1"/>
  <c r="M946" i="3"/>
  <c r="N946" i="3" s="1"/>
  <c r="V946" i="3"/>
  <c r="A947" i="3"/>
  <c r="B947" i="3" s="1"/>
  <c r="W946" i="3" l="1"/>
  <c r="Z947" i="3"/>
  <c r="P947" i="3"/>
  <c r="Q947" i="3" s="1"/>
  <c r="R947" i="3" s="1"/>
  <c r="S947" i="3" s="1"/>
  <c r="AC947" i="3"/>
  <c r="AA947" i="3"/>
  <c r="L946" i="3"/>
  <c r="T947" i="3" l="1"/>
  <c r="AG947" i="3" s="1"/>
  <c r="U946" i="3"/>
  <c r="Y945" i="3"/>
  <c r="AH947" i="3" l="1"/>
  <c r="E947" i="3"/>
  <c r="H947" i="3" s="1"/>
  <c r="K947" i="3" s="1"/>
  <c r="AE947" i="3" s="1"/>
  <c r="D947" i="3"/>
  <c r="F947" i="3" l="1"/>
  <c r="G947" i="3"/>
  <c r="I947" i="3" s="1"/>
  <c r="V947" i="3"/>
  <c r="A948" i="3"/>
  <c r="B948" i="3" s="1"/>
  <c r="M947" i="3" l="1"/>
  <c r="N947" i="3" s="1"/>
  <c r="J947" i="3"/>
  <c r="AA948" i="3"/>
  <c r="Z948" i="3"/>
  <c r="AC948" i="3"/>
  <c r="P948" i="3"/>
  <c r="Q948" i="3" s="1"/>
  <c r="R948" i="3" s="1"/>
  <c r="S948" i="3" s="1"/>
  <c r="W947" i="3"/>
  <c r="L947" i="3" l="1"/>
  <c r="U947" i="3" s="1"/>
  <c r="AD947" i="3"/>
  <c r="T948" i="3"/>
  <c r="Y946" i="3" l="1"/>
  <c r="AH948" i="3"/>
  <c r="AG948" i="3"/>
  <c r="D948" i="3"/>
  <c r="G948" i="3" s="1"/>
  <c r="E948" i="3"/>
  <c r="H948" i="3" s="1"/>
  <c r="K948" i="3" s="1"/>
  <c r="AE948" i="3" s="1"/>
  <c r="F948" i="3" l="1"/>
  <c r="V948" i="3"/>
  <c r="A949" i="3"/>
  <c r="B949" i="3" s="1"/>
  <c r="I948" i="3"/>
  <c r="J948" i="3"/>
  <c r="AD948" i="3" s="1"/>
  <c r="M948" i="3"/>
  <c r="N948" i="3" s="1"/>
  <c r="W948" i="3" l="1"/>
  <c r="L948" i="3"/>
  <c r="AA949" i="3"/>
  <c r="Z949" i="3"/>
  <c r="P949" i="3"/>
  <c r="Q949" i="3" s="1"/>
  <c r="R949" i="3" s="1"/>
  <c r="S949" i="3" s="1"/>
  <c r="AC949" i="3"/>
  <c r="U948" i="3" l="1"/>
  <c r="Y947" i="3"/>
  <c r="T949" i="3"/>
  <c r="E949" i="3" l="1"/>
  <c r="H949" i="3" s="1"/>
  <c r="K949" i="3" s="1"/>
  <c r="AE949" i="3" s="1"/>
  <c r="AH949" i="3"/>
  <c r="D949" i="3"/>
  <c r="AG949" i="3"/>
  <c r="F949" i="3" l="1"/>
  <c r="G949" i="3"/>
  <c r="I949" i="3" s="1"/>
  <c r="V949" i="3"/>
  <c r="A950" i="3"/>
  <c r="B950" i="3" s="1"/>
  <c r="M949" i="3" l="1"/>
  <c r="N949" i="3" s="1"/>
  <c r="J949" i="3"/>
  <c r="W949" i="3"/>
  <c r="AC950" i="3"/>
  <c r="Z950" i="3"/>
  <c r="AA950" i="3"/>
  <c r="P950" i="3"/>
  <c r="Q950" i="3" s="1"/>
  <c r="R950" i="3" s="1"/>
  <c r="S950" i="3" s="1"/>
  <c r="L949" i="3" l="1"/>
  <c r="U949" i="3" s="1"/>
  <c r="AD949" i="3"/>
  <c r="T950" i="3"/>
  <c r="Y948" i="3" l="1"/>
  <c r="AH950" i="3"/>
  <c r="E950" i="3"/>
  <c r="H950" i="3" s="1"/>
  <c r="K950" i="3" s="1"/>
  <c r="AE950" i="3" s="1"/>
  <c r="AG950" i="3"/>
  <c r="D950" i="3"/>
  <c r="F950" i="3" l="1"/>
  <c r="G950" i="3"/>
  <c r="V950" i="3"/>
  <c r="A951" i="3"/>
  <c r="B951" i="3" s="1"/>
  <c r="AC951" i="3" l="1"/>
  <c r="AA951" i="3"/>
  <c r="Z951" i="3"/>
  <c r="P951" i="3"/>
  <c r="Q951" i="3" s="1"/>
  <c r="R951" i="3" s="1"/>
  <c r="S951" i="3" s="1"/>
  <c r="I950" i="3"/>
  <c r="W950" i="3" s="1"/>
  <c r="J950" i="3"/>
  <c r="AD950" i="3" s="1"/>
  <c r="M950" i="3"/>
  <c r="N950" i="3" s="1"/>
  <c r="T951" i="3" l="1"/>
  <c r="L950" i="3"/>
  <c r="AH951" i="3" l="1"/>
  <c r="U950" i="3"/>
  <c r="E951" i="3" s="1"/>
  <c r="H951" i="3" s="1"/>
  <c r="AG951" i="3"/>
  <c r="Y949" i="3"/>
  <c r="D951" i="3" l="1"/>
  <c r="F951" i="3" s="1"/>
  <c r="K951" i="3"/>
  <c r="AE951" i="3" s="1"/>
  <c r="G951" i="3" l="1"/>
  <c r="I951" i="3" s="1"/>
  <c r="V951" i="3"/>
  <c r="A952" i="3"/>
  <c r="B952" i="3" s="1"/>
  <c r="M951" i="3" l="1"/>
  <c r="N951" i="3" s="1"/>
  <c r="J951" i="3"/>
  <c r="AC952" i="3"/>
  <c r="Z952" i="3"/>
  <c r="AA952" i="3"/>
  <c r="P952" i="3"/>
  <c r="Q952" i="3" s="1"/>
  <c r="R952" i="3" s="1"/>
  <c r="S952" i="3" s="1"/>
  <c r="W951" i="3"/>
  <c r="L951" i="3" l="1"/>
  <c r="U951" i="3" s="1"/>
  <c r="AD951" i="3"/>
  <c r="T952" i="3"/>
  <c r="Y950" i="3" l="1"/>
  <c r="AH952" i="3"/>
  <c r="E952" i="3"/>
  <c r="H952" i="3" s="1"/>
  <c r="K952" i="3" s="1"/>
  <c r="AE952" i="3" s="1"/>
  <c r="D952" i="3"/>
  <c r="AG952" i="3"/>
  <c r="F952" i="3" l="1"/>
  <c r="G952" i="3"/>
  <c r="I952" i="3" s="1"/>
  <c r="V952" i="3"/>
  <c r="A953" i="3"/>
  <c r="B953" i="3" s="1"/>
  <c r="M952" i="3" l="1"/>
  <c r="N952" i="3" s="1"/>
  <c r="J952" i="3"/>
  <c r="W952" i="3"/>
  <c r="AC953" i="3"/>
  <c r="AA953" i="3"/>
  <c r="Z953" i="3"/>
  <c r="P953" i="3"/>
  <c r="Q953" i="3" s="1"/>
  <c r="R953" i="3" s="1"/>
  <c r="S953" i="3" s="1"/>
  <c r="L952" i="3" l="1"/>
  <c r="U952" i="3" s="1"/>
  <c r="AD952" i="3"/>
  <c r="T953" i="3"/>
  <c r="Y951" i="3" l="1"/>
  <c r="AH953" i="3"/>
  <c r="D953" i="3"/>
  <c r="G953" i="3" s="1"/>
  <c r="AG953" i="3"/>
  <c r="E953" i="3"/>
  <c r="H953" i="3" s="1"/>
  <c r="K953" i="3" s="1"/>
  <c r="AE953" i="3" s="1"/>
  <c r="F953" i="3" l="1"/>
  <c r="I953" i="3"/>
  <c r="J953" i="3"/>
  <c r="AD953" i="3" s="1"/>
  <c r="M953" i="3"/>
  <c r="N953" i="3" s="1"/>
  <c r="V953" i="3"/>
  <c r="A954" i="3"/>
  <c r="B954" i="3" s="1"/>
  <c r="W953" i="3" l="1"/>
  <c r="AC954" i="3"/>
  <c r="Z954" i="3"/>
  <c r="AA954" i="3"/>
  <c r="P954" i="3"/>
  <c r="Q954" i="3" s="1"/>
  <c r="R954" i="3" s="1"/>
  <c r="S954" i="3" s="1"/>
  <c r="L953" i="3"/>
  <c r="T954" i="3" l="1"/>
  <c r="AH954" i="3" s="1"/>
  <c r="U953" i="3"/>
  <c r="Y952" i="3"/>
  <c r="D954" i="3" l="1"/>
  <c r="G954" i="3" s="1"/>
  <c r="AG954" i="3"/>
  <c r="E954" i="3"/>
  <c r="H954" i="3" s="1"/>
  <c r="K954" i="3" l="1"/>
  <c r="AE954" i="3" s="1"/>
  <c r="I954" i="3"/>
  <c r="J954" i="3"/>
  <c r="AD954" i="3" s="1"/>
  <c r="M954" i="3"/>
  <c r="N954" i="3" s="1"/>
  <c r="F954" i="3"/>
  <c r="L954" i="3" l="1"/>
  <c r="V954" i="3"/>
  <c r="W954" i="3" s="1"/>
  <c r="A955" i="3"/>
  <c r="B955" i="3" s="1"/>
  <c r="Z955" i="3" l="1"/>
  <c r="AA955" i="3"/>
  <c r="P955" i="3"/>
  <c r="Q955" i="3" s="1"/>
  <c r="R955" i="3" s="1"/>
  <c r="S955" i="3" s="1"/>
  <c r="AC955" i="3"/>
  <c r="U954" i="3"/>
  <c r="Y953" i="3"/>
  <c r="T955" i="3" l="1"/>
  <c r="AG955" i="3" s="1"/>
  <c r="E955" i="3" l="1"/>
  <c r="H955" i="3" s="1"/>
  <c r="K955" i="3" s="1"/>
  <c r="AE955" i="3" s="1"/>
  <c r="D955" i="3"/>
  <c r="AH955" i="3"/>
  <c r="F955" i="3" l="1"/>
  <c r="G955" i="3"/>
  <c r="I955" i="3" s="1"/>
  <c r="V955" i="3"/>
  <c r="A956" i="3"/>
  <c r="B956" i="3" s="1"/>
  <c r="M955" i="3" l="1"/>
  <c r="N955" i="3" s="1"/>
  <c r="J955" i="3"/>
  <c r="AA956" i="3"/>
  <c r="Z956" i="3"/>
  <c r="P956" i="3"/>
  <c r="Q956" i="3" s="1"/>
  <c r="R956" i="3" s="1"/>
  <c r="S956" i="3" s="1"/>
  <c r="AC956" i="3"/>
  <c r="W955" i="3"/>
  <c r="L955" i="3" l="1"/>
  <c r="U955" i="3" s="1"/>
  <c r="AD955" i="3"/>
  <c r="T956" i="3"/>
  <c r="Y954" i="3" l="1"/>
  <c r="AH956" i="3"/>
  <c r="D956" i="3"/>
  <c r="G956" i="3" s="1"/>
  <c r="AG956" i="3"/>
  <c r="E956" i="3"/>
  <c r="H956" i="3" s="1"/>
  <c r="K956" i="3" s="1"/>
  <c r="AE956" i="3" s="1"/>
  <c r="F956" i="3" l="1"/>
  <c r="V956" i="3"/>
  <c r="A957" i="3"/>
  <c r="B957" i="3" s="1"/>
  <c r="I956" i="3"/>
  <c r="J956" i="3"/>
  <c r="AD956" i="3" s="1"/>
  <c r="M956" i="3"/>
  <c r="N956" i="3" s="1"/>
  <c r="L956" i="3" l="1"/>
  <c r="Z957" i="3"/>
  <c r="AA957" i="3"/>
  <c r="P957" i="3"/>
  <c r="Q957" i="3" s="1"/>
  <c r="R957" i="3" s="1"/>
  <c r="S957" i="3" s="1"/>
  <c r="AC957" i="3"/>
  <c r="W956" i="3"/>
  <c r="T957" i="3" l="1"/>
  <c r="AG957" i="3" s="1"/>
  <c r="U956" i="3"/>
  <c r="Y955" i="3"/>
  <c r="AH957" i="3" l="1"/>
  <c r="E957" i="3"/>
  <c r="H957" i="3" s="1"/>
  <c r="K957" i="3" s="1"/>
  <c r="AE957" i="3" s="1"/>
  <c r="D957" i="3"/>
  <c r="F957" i="3" l="1"/>
  <c r="G957" i="3"/>
  <c r="V957" i="3"/>
  <c r="A958" i="3"/>
  <c r="B958" i="3" s="1"/>
  <c r="P958" i="3" l="1"/>
  <c r="Q958" i="3" s="1"/>
  <c r="R958" i="3" s="1"/>
  <c r="S958" i="3" s="1"/>
  <c r="AA958" i="3"/>
  <c r="Z958" i="3"/>
  <c r="AC958" i="3"/>
  <c r="I957" i="3"/>
  <c r="W957" i="3" s="1"/>
  <c r="J957" i="3"/>
  <c r="AD957" i="3" s="1"/>
  <c r="M957" i="3"/>
  <c r="N957" i="3" s="1"/>
  <c r="L957" i="3" l="1"/>
  <c r="T958" i="3"/>
  <c r="U957" i="3" l="1"/>
  <c r="E958" i="3" s="1"/>
  <c r="H958" i="3" s="1"/>
  <c r="AG958" i="3"/>
  <c r="AH958" i="3"/>
  <c r="Y956" i="3"/>
  <c r="D958" i="3" l="1"/>
  <c r="F958" i="3" s="1"/>
  <c r="K958" i="3"/>
  <c r="AE958" i="3" s="1"/>
  <c r="G958" i="3" l="1"/>
  <c r="I958" i="3" s="1"/>
  <c r="V958" i="3"/>
  <c r="A959" i="3"/>
  <c r="B959" i="3" s="1"/>
  <c r="M958" i="3" l="1"/>
  <c r="N958" i="3" s="1"/>
  <c r="J958" i="3"/>
  <c r="AD958" i="3" s="1"/>
  <c r="P959" i="3"/>
  <c r="Q959" i="3" s="1"/>
  <c r="R959" i="3" s="1"/>
  <c r="S959" i="3" s="1"/>
  <c r="Z959" i="3"/>
  <c r="AA959" i="3"/>
  <c r="AC959" i="3"/>
  <c r="W958" i="3"/>
  <c r="L958" i="3" l="1"/>
  <c r="U958" i="3" s="1"/>
  <c r="T959" i="3"/>
  <c r="AH959" i="3" l="1"/>
  <c r="Y957" i="3"/>
  <c r="D959" i="3"/>
  <c r="E959" i="3"/>
  <c r="H959" i="3" s="1"/>
  <c r="AG959" i="3"/>
  <c r="K959" i="3" l="1"/>
  <c r="AE959" i="3" s="1"/>
  <c r="F959" i="3"/>
  <c r="G959" i="3"/>
  <c r="I959" i="3" l="1"/>
  <c r="J959" i="3"/>
  <c r="AD959" i="3" s="1"/>
  <c r="M959" i="3"/>
  <c r="N959" i="3" s="1"/>
  <c r="V959" i="3"/>
  <c r="A960" i="3"/>
  <c r="B960" i="3" s="1"/>
  <c r="W959" i="3" l="1"/>
  <c r="AC960" i="3"/>
  <c r="Z960" i="3"/>
  <c r="AA960" i="3"/>
  <c r="P960" i="3"/>
  <c r="Q960" i="3" s="1"/>
  <c r="R960" i="3" s="1"/>
  <c r="S960" i="3" s="1"/>
  <c r="L959" i="3"/>
  <c r="T960" i="3" l="1"/>
  <c r="AH960" i="3" s="1"/>
  <c r="U959" i="3"/>
  <c r="Y958" i="3"/>
  <c r="D960" i="3" l="1"/>
  <c r="G960" i="3" s="1"/>
  <c r="E960" i="3"/>
  <c r="H960" i="3" s="1"/>
  <c r="K960" i="3" s="1"/>
  <c r="AE960" i="3" s="1"/>
  <c r="AG960" i="3"/>
  <c r="F960" i="3" l="1"/>
  <c r="I960" i="3"/>
  <c r="J960" i="3"/>
  <c r="AD960" i="3" s="1"/>
  <c r="M960" i="3"/>
  <c r="N960" i="3" s="1"/>
  <c r="V960" i="3"/>
  <c r="A961" i="3"/>
  <c r="B961" i="3" s="1"/>
  <c r="W960" i="3" l="1"/>
  <c r="AC961" i="3"/>
  <c r="AA961" i="3"/>
  <c r="Z961" i="3"/>
  <c r="P961" i="3"/>
  <c r="Q961" i="3" s="1"/>
  <c r="R961" i="3" s="1"/>
  <c r="S961" i="3" s="1"/>
  <c r="L960" i="3"/>
  <c r="T961" i="3" l="1"/>
  <c r="AG961" i="3" s="1"/>
  <c r="U960" i="3"/>
  <c r="Y959" i="3"/>
  <c r="D961" i="3" l="1"/>
  <c r="G961" i="3" s="1"/>
  <c r="AH961" i="3"/>
  <c r="E961" i="3"/>
  <c r="H961" i="3" s="1"/>
  <c r="K961" i="3" s="1"/>
  <c r="AE961" i="3" s="1"/>
  <c r="F961" i="3" l="1"/>
  <c r="I961" i="3"/>
  <c r="J961" i="3"/>
  <c r="AD961" i="3" s="1"/>
  <c r="M961" i="3"/>
  <c r="N961" i="3" s="1"/>
  <c r="V961" i="3"/>
  <c r="A962" i="3"/>
  <c r="B962" i="3" s="1"/>
  <c r="W961" i="3" l="1"/>
  <c r="P962" i="3"/>
  <c r="Q962" i="3" s="1"/>
  <c r="R962" i="3" s="1"/>
  <c r="S962" i="3" s="1"/>
  <c r="AC962" i="3"/>
  <c r="AA962" i="3"/>
  <c r="Z962" i="3"/>
  <c r="L961" i="3"/>
  <c r="T962" i="3" l="1"/>
  <c r="AH962" i="3" s="1"/>
  <c r="U961" i="3"/>
  <c r="Y960" i="3"/>
  <c r="AG962" i="3" l="1"/>
  <c r="D962" i="3"/>
  <c r="G962" i="3" s="1"/>
  <c r="E962" i="3"/>
  <c r="H962" i="3" s="1"/>
  <c r="K962" i="3" s="1"/>
  <c r="AE962" i="3" s="1"/>
  <c r="F962" i="3" l="1"/>
  <c r="V962" i="3"/>
  <c r="A963" i="3"/>
  <c r="B963" i="3" s="1"/>
  <c r="I962" i="3"/>
  <c r="J962" i="3"/>
  <c r="AD962" i="3" s="1"/>
  <c r="M962" i="3"/>
  <c r="N962" i="3" s="1"/>
  <c r="L962" i="3" l="1"/>
  <c r="P963" i="3"/>
  <c r="Q963" i="3" s="1"/>
  <c r="R963" i="3" s="1"/>
  <c r="S963" i="3" s="1"/>
  <c r="AC963" i="3"/>
  <c r="AA963" i="3"/>
  <c r="Z963" i="3"/>
  <c r="W962" i="3"/>
  <c r="T963" i="3" l="1"/>
  <c r="AH963" i="3" s="1"/>
  <c r="U962" i="3"/>
  <c r="Y961" i="3"/>
  <c r="D963" i="3" l="1"/>
  <c r="G963" i="3" s="1"/>
  <c r="AG963" i="3"/>
  <c r="E963" i="3"/>
  <c r="H963" i="3" s="1"/>
  <c r="K963" i="3" s="1"/>
  <c r="AE963" i="3" s="1"/>
  <c r="F963" i="3" l="1"/>
  <c r="V963" i="3"/>
  <c r="A964" i="3"/>
  <c r="B964" i="3" s="1"/>
  <c r="I963" i="3"/>
  <c r="J963" i="3"/>
  <c r="AD963" i="3" s="1"/>
  <c r="M963" i="3"/>
  <c r="N963" i="3" s="1"/>
  <c r="L963" i="3" l="1"/>
  <c r="P964" i="3"/>
  <c r="Q964" i="3" s="1"/>
  <c r="R964" i="3" s="1"/>
  <c r="S964" i="3" s="1"/>
  <c r="AA964" i="3"/>
  <c r="Z964" i="3"/>
  <c r="AC964" i="3"/>
  <c r="W963" i="3"/>
  <c r="T964" i="3" l="1"/>
  <c r="AG964" i="3" s="1"/>
  <c r="U963" i="3"/>
  <c r="Y962" i="3"/>
  <c r="AH964" i="3" l="1"/>
  <c r="E964" i="3"/>
  <c r="H964" i="3" s="1"/>
  <c r="K964" i="3" s="1"/>
  <c r="AE964" i="3" s="1"/>
  <c r="D964" i="3"/>
  <c r="F964" i="3" l="1"/>
  <c r="G964" i="3"/>
  <c r="I964" i="3" s="1"/>
  <c r="V964" i="3"/>
  <c r="A965" i="3"/>
  <c r="B965" i="3" s="1"/>
  <c r="M964" i="3" l="1"/>
  <c r="N964" i="3" s="1"/>
  <c r="J964" i="3"/>
  <c r="Z965" i="3"/>
  <c r="AC965" i="3"/>
  <c r="P965" i="3"/>
  <c r="Q965" i="3" s="1"/>
  <c r="R965" i="3" s="1"/>
  <c r="S965" i="3" s="1"/>
  <c r="AA965" i="3"/>
  <c r="W964" i="3"/>
  <c r="L964" i="3" l="1"/>
  <c r="U964" i="3" s="1"/>
  <c r="AD964" i="3"/>
  <c r="T965" i="3"/>
  <c r="Y963" i="3" l="1"/>
  <c r="AH965" i="3"/>
  <c r="E965" i="3"/>
  <c r="H965" i="3" s="1"/>
  <c r="K965" i="3" s="1"/>
  <c r="AE965" i="3" s="1"/>
  <c r="AG965" i="3"/>
  <c r="D965" i="3"/>
  <c r="F965" i="3" l="1"/>
  <c r="G965" i="3"/>
  <c r="I965" i="3" s="1"/>
  <c r="V965" i="3"/>
  <c r="A966" i="3"/>
  <c r="B966" i="3" s="1"/>
  <c r="M965" i="3" l="1"/>
  <c r="N965" i="3" s="1"/>
  <c r="J965" i="3"/>
  <c r="W965" i="3"/>
  <c r="Z966" i="3"/>
  <c r="AC966" i="3"/>
  <c r="P966" i="3"/>
  <c r="Q966" i="3" s="1"/>
  <c r="R966" i="3" s="1"/>
  <c r="S966" i="3" s="1"/>
  <c r="AA966" i="3"/>
  <c r="L965" i="3" l="1"/>
  <c r="U965" i="3" s="1"/>
  <c r="AD965" i="3"/>
  <c r="T966" i="3"/>
  <c r="AH966" i="3" l="1"/>
  <c r="Y964" i="3"/>
  <c r="AG966" i="3"/>
  <c r="D966" i="3"/>
  <c r="G966" i="3" s="1"/>
  <c r="E966" i="3"/>
  <c r="H966" i="3" s="1"/>
  <c r="K966" i="3" s="1"/>
  <c r="AE966" i="3" s="1"/>
  <c r="F966" i="3" l="1"/>
  <c r="V966" i="3"/>
  <c r="A967" i="3"/>
  <c r="B967" i="3" s="1"/>
  <c r="I966" i="3"/>
  <c r="J966" i="3"/>
  <c r="AD966" i="3" s="1"/>
  <c r="M966" i="3"/>
  <c r="N966" i="3" s="1"/>
  <c r="L966" i="3" l="1"/>
  <c r="W966" i="3"/>
  <c r="P967" i="3"/>
  <c r="Q967" i="3" s="1"/>
  <c r="R967" i="3" s="1"/>
  <c r="S967" i="3" s="1"/>
  <c r="AA967" i="3"/>
  <c r="Z967" i="3"/>
  <c r="AC967" i="3"/>
  <c r="T967" i="3" l="1"/>
  <c r="AH967" i="3" s="1"/>
  <c r="U966" i="3"/>
  <c r="Y965" i="3"/>
  <c r="AG967" i="3" l="1"/>
  <c r="D967" i="3"/>
  <c r="G967" i="3" s="1"/>
  <c r="E967" i="3"/>
  <c r="H967" i="3" s="1"/>
  <c r="K967" i="3" s="1"/>
  <c r="AE967" i="3" s="1"/>
  <c r="F967" i="3" l="1"/>
  <c r="I967" i="3"/>
  <c r="J967" i="3"/>
  <c r="AD967" i="3" s="1"/>
  <c r="M967" i="3"/>
  <c r="N967" i="3" s="1"/>
  <c r="V967" i="3"/>
  <c r="A968" i="3"/>
  <c r="B968" i="3" s="1"/>
  <c r="W967" i="3" l="1"/>
  <c r="P968" i="3"/>
  <c r="Q968" i="3" s="1"/>
  <c r="R968" i="3" s="1"/>
  <c r="S968" i="3" s="1"/>
  <c r="Z968" i="3"/>
  <c r="AA968" i="3"/>
  <c r="AC968" i="3"/>
  <c r="L967" i="3"/>
  <c r="T968" i="3" l="1"/>
  <c r="AG968" i="3" s="1"/>
  <c r="U967" i="3"/>
  <c r="Y966" i="3"/>
  <c r="E968" i="3" l="1"/>
  <c r="H968" i="3" s="1"/>
  <c r="K968" i="3" s="1"/>
  <c r="AE968" i="3" s="1"/>
  <c r="AH968" i="3"/>
  <c r="D968" i="3"/>
  <c r="F968" i="3" l="1"/>
  <c r="G968" i="3"/>
  <c r="I968" i="3" s="1"/>
  <c r="V968" i="3"/>
  <c r="A969" i="3"/>
  <c r="B969" i="3" s="1"/>
  <c r="M968" i="3" l="1"/>
  <c r="N968" i="3" s="1"/>
  <c r="J968" i="3"/>
  <c r="AA969" i="3"/>
  <c r="P969" i="3"/>
  <c r="Q969" i="3" s="1"/>
  <c r="R969" i="3" s="1"/>
  <c r="S969" i="3" s="1"/>
  <c r="Z969" i="3"/>
  <c r="AC969" i="3"/>
  <c r="W968" i="3"/>
  <c r="L968" i="3" l="1"/>
  <c r="U968" i="3" s="1"/>
  <c r="AD968" i="3"/>
  <c r="T969" i="3"/>
  <c r="Y967" i="3" l="1"/>
  <c r="D969" i="3"/>
  <c r="G969" i="3" s="1"/>
  <c r="AH969" i="3"/>
  <c r="E969" i="3"/>
  <c r="H969" i="3" s="1"/>
  <c r="K969" i="3" s="1"/>
  <c r="AE969" i="3" s="1"/>
  <c r="AG969" i="3"/>
  <c r="F969" i="3" l="1"/>
  <c r="I969" i="3"/>
  <c r="J969" i="3"/>
  <c r="AD969" i="3" s="1"/>
  <c r="M969" i="3"/>
  <c r="N969" i="3" s="1"/>
  <c r="V969" i="3"/>
  <c r="A970" i="3"/>
  <c r="B970" i="3" s="1"/>
  <c r="W969" i="3" l="1"/>
  <c r="AC970" i="3"/>
  <c r="P970" i="3"/>
  <c r="Q970" i="3" s="1"/>
  <c r="R970" i="3" s="1"/>
  <c r="S970" i="3" s="1"/>
  <c r="AA970" i="3"/>
  <c r="Z970" i="3"/>
  <c r="L969" i="3"/>
  <c r="T970" i="3" l="1"/>
  <c r="AG970" i="3" s="1"/>
  <c r="U969" i="3"/>
  <c r="Y968" i="3"/>
  <c r="AH970" i="3" l="1"/>
  <c r="E970" i="3"/>
  <c r="H970" i="3" s="1"/>
  <c r="K970" i="3" s="1"/>
  <c r="AE970" i="3" s="1"/>
  <c r="D970" i="3"/>
  <c r="F970" i="3" l="1"/>
  <c r="G970" i="3"/>
  <c r="I970" i="3" s="1"/>
  <c r="V970" i="3"/>
  <c r="A971" i="3"/>
  <c r="B971" i="3" s="1"/>
  <c r="J970" i="3" l="1"/>
  <c r="W970" i="3"/>
  <c r="M970" i="3"/>
  <c r="N970" i="3" s="1"/>
  <c r="P971" i="3"/>
  <c r="Q971" i="3" s="1"/>
  <c r="R971" i="3" s="1"/>
  <c r="S971" i="3" s="1"/>
  <c r="Z971" i="3"/>
  <c r="AA971" i="3"/>
  <c r="AC971" i="3"/>
  <c r="L970" i="3" l="1"/>
  <c r="U970" i="3" s="1"/>
  <c r="AD970" i="3"/>
  <c r="T971" i="3"/>
  <c r="AH971" i="3" l="1"/>
  <c r="Y969" i="3"/>
  <c r="E971" i="3"/>
  <c r="H971" i="3" s="1"/>
  <c r="K971" i="3" s="1"/>
  <c r="AE971" i="3" s="1"/>
  <c r="AG971" i="3"/>
  <c r="D971" i="3"/>
  <c r="F971" i="3" l="1"/>
  <c r="G971" i="3"/>
  <c r="V971" i="3"/>
  <c r="A972" i="3"/>
  <c r="B972" i="3" s="1"/>
  <c r="P972" i="3" l="1"/>
  <c r="Q972" i="3" s="1"/>
  <c r="R972" i="3" s="1"/>
  <c r="S972" i="3" s="1"/>
  <c r="AC972" i="3"/>
  <c r="Z972" i="3"/>
  <c r="AA972" i="3"/>
  <c r="I971" i="3"/>
  <c r="W971" i="3" s="1"/>
  <c r="J971" i="3"/>
  <c r="AD971" i="3" s="1"/>
  <c r="M971" i="3"/>
  <c r="N971" i="3" s="1"/>
  <c r="L971" i="3" l="1"/>
  <c r="T972" i="3"/>
  <c r="AG972" i="3" l="1"/>
  <c r="AH972" i="3"/>
  <c r="U971" i="3"/>
  <c r="E972" i="3" s="1"/>
  <c r="H972" i="3" s="1"/>
  <c r="Y970" i="3"/>
  <c r="K972" i="3" l="1"/>
  <c r="AE972" i="3" s="1"/>
  <c r="D972" i="3"/>
  <c r="F972" i="3" l="1"/>
  <c r="G972" i="3"/>
  <c r="V972" i="3"/>
  <c r="A973" i="3"/>
  <c r="B973" i="3" s="1"/>
  <c r="AC973" i="3" l="1"/>
  <c r="Z973" i="3"/>
  <c r="P973" i="3"/>
  <c r="Q973" i="3" s="1"/>
  <c r="R973" i="3" s="1"/>
  <c r="S973" i="3" s="1"/>
  <c r="AA973" i="3"/>
  <c r="I972" i="3"/>
  <c r="W972" i="3" s="1"/>
  <c r="J972" i="3"/>
  <c r="AD972" i="3" s="1"/>
  <c r="M972" i="3"/>
  <c r="N972" i="3" s="1"/>
  <c r="L972" i="3" l="1"/>
  <c r="T973" i="3"/>
  <c r="AG973" i="3" l="1"/>
  <c r="U972" i="3"/>
  <c r="D973" i="3" s="1"/>
  <c r="AH973" i="3"/>
  <c r="Y971" i="3"/>
  <c r="E973" i="3" l="1"/>
  <c r="H973" i="3" s="1"/>
  <c r="K973" i="3" s="1"/>
  <c r="AE973" i="3" s="1"/>
  <c r="G973" i="3"/>
  <c r="F973" i="3" l="1"/>
  <c r="V973" i="3"/>
  <c r="A974" i="3"/>
  <c r="B974" i="3" s="1"/>
  <c r="I973" i="3"/>
  <c r="J973" i="3"/>
  <c r="AD973" i="3" s="1"/>
  <c r="M973" i="3"/>
  <c r="N973" i="3" s="1"/>
  <c r="P974" i="3" l="1"/>
  <c r="Q974" i="3" s="1"/>
  <c r="R974" i="3" s="1"/>
  <c r="S974" i="3" s="1"/>
  <c r="AA974" i="3"/>
  <c r="Z974" i="3"/>
  <c r="AC974" i="3"/>
  <c r="AD974" i="3"/>
  <c r="L973" i="3"/>
  <c r="W973" i="3"/>
  <c r="U973" i="3" l="1"/>
  <c r="Y972" i="3"/>
  <c r="T974" i="3"/>
  <c r="AG974" i="3" s="1"/>
  <c r="E974" i="3" l="1"/>
  <c r="H974" i="3" s="1"/>
  <c r="AH974" i="3"/>
  <c r="D974" i="3"/>
  <c r="F974" i="3" l="1"/>
  <c r="G974" i="3"/>
  <c r="K974" i="3"/>
  <c r="AE974" i="3" s="1"/>
  <c r="V974" i="3" l="1"/>
  <c r="A975" i="3"/>
  <c r="B975" i="3" s="1"/>
  <c r="I974" i="3"/>
  <c r="J974" i="3"/>
  <c r="M974" i="3"/>
  <c r="N974" i="3" s="1"/>
  <c r="AD975" i="3" l="1"/>
  <c r="P975" i="3"/>
  <c r="Q975" i="3" s="1"/>
  <c r="R975" i="3" s="1"/>
  <c r="S975" i="3" s="1"/>
  <c r="Z975" i="3"/>
  <c r="AC975" i="3"/>
  <c r="AA975" i="3"/>
  <c r="L974" i="3"/>
  <c r="W974" i="3"/>
  <c r="T975" i="3" l="1"/>
  <c r="AG975" i="3" s="1"/>
  <c r="U974" i="3"/>
  <c r="Y973" i="3"/>
  <c r="E975" i="3" l="1"/>
  <c r="H975" i="3" s="1"/>
  <c r="K975" i="3" s="1"/>
  <c r="AE975" i="3" s="1"/>
  <c r="AH975" i="3"/>
  <c r="D975" i="3"/>
  <c r="F975" i="3" l="1"/>
  <c r="G975" i="3"/>
  <c r="I975" i="3" s="1"/>
  <c r="V975" i="3"/>
  <c r="A976" i="3"/>
  <c r="B976" i="3" s="1"/>
  <c r="M975" i="3" l="1"/>
  <c r="N975" i="3" s="1"/>
  <c r="J975" i="3"/>
  <c r="L975" i="3" s="1"/>
  <c r="W975" i="3"/>
  <c r="AC976" i="3"/>
  <c r="AA976" i="3"/>
  <c r="AD976" i="3"/>
  <c r="Z976" i="3"/>
  <c r="P976" i="3"/>
  <c r="Q976" i="3" s="1"/>
  <c r="R976" i="3" s="1"/>
  <c r="S976" i="3" s="1"/>
  <c r="T976" i="3" l="1"/>
  <c r="AH976" i="3" s="1"/>
  <c r="U975" i="3"/>
  <c r="Y974" i="3"/>
  <c r="D976" i="3" l="1"/>
  <c r="G976" i="3" s="1"/>
  <c r="AG976" i="3"/>
  <c r="E976" i="3"/>
  <c r="H976" i="3" s="1"/>
  <c r="K976" i="3" s="1"/>
  <c r="AE976" i="3" s="1"/>
  <c r="F976" i="3" l="1"/>
  <c r="V976" i="3"/>
  <c r="A977" i="3"/>
  <c r="B977" i="3" s="1"/>
  <c r="I976" i="3"/>
  <c r="J976" i="3"/>
  <c r="M976" i="3"/>
  <c r="N976" i="3" s="1"/>
  <c r="Z977" i="3" l="1"/>
  <c r="P977" i="3"/>
  <c r="Q977" i="3" s="1"/>
  <c r="R977" i="3" s="1"/>
  <c r="S977" i="3" s="1"/>
  <c r="AD977" i="3"/>
  <c r="AC977" i="3"/>
  <c r="AA977" i="3"/>
  <c r="L976" i="3"/>
  <c r="W976" i="3"/>
  <c r="T977" i="3" l="1"/>
  <c r="AH977" i="3" s="1"/>
  <c r="U976" i="3"/>
  <c r="Y975" i="3"/>
  <c r="D977" i="3" l="1"/>
  <c r="G977" i="3" s="1"/>
  <c r="AG977" i="3"/>
  <c r="E977" i="3"/>
  <c r="H977" i="3" s="1"/>
  <c r="K977" i="3" s="1"/>
  <c r="AE977" i="3" s="1"/>
  <c r="F977" i="3" l="1"/>
  <c r="I977" i="3"/>
  <c r="J977" i="3"/>
  <c r="M977" i="3"/>
  <c r="N977" i="3" s="1"/>
  <c r="V977" i="3"/>
  <c r="A978" i="3"/>
  <c r="B978" i="3" s="1"/>
  <c r="W977" i="3" l="1"/>
  <c r="P978" i="3"/>
  <c r="Q978" i="3" s="1"/>
  <c r="R978" i="3" s="1"/>
  <c r="S978" i="3" s="1"/>
  <c r="Z978" i="3"/>
  <c r="AA978" i="3"/>
  <c r="AD978" i="3"/>
  <c r="AC978" i="3"/>
  <c r="L977" i="3"/>
  <c r="T978" i="3" l="1"/>
  <c r="AG978" i="3" s="1"/>
  <c r="U977" i="3"/>
  <c r="Y976" i="3"/>
  <c r="D978" i="3" l="1"/>
  <c r="G978" i="3" s="1"/>
  <c r="AH978" i="3"/>
  <c r="E978" i="3"/>
  <c r="H978" i="3" s="1"/>
  <c r="K978" i="3" l="1"/>
  <c r="AE978" i="3" s="1"/>
  <c r="I978" i="3"/>
  <c r="J978" i="3"/>
  <c r="M978" i="3"/>
  <c r="N978" i="3" s="1"/>
  <c r="F978" i="3"/>
  <c r="L978" i="3" l="1"/>
  <c r="V978" i="3"/>
  <c r="W978" i="3" s="1"/>
  <c r="A979" i="3"/>
  <c r="B979" i="3" s="1"/>
  <c r="AA979" i="3" l="1"/>
  <c r="Z979" i="3"/>
  <c r="P979" i="3"/>
  <c r="Q979" i="3" s="1"/>
  <c r="R979" i="3" s="1"/>
  <c r="S979" i="3" s="1"/>
  <c r="AD979" i="3"/>
  <c r="AC979" i="3"/>
  <c r="U978" i="3"/>
  <c r="Y977" i="3"/>
  <c r="T979" i="3" l="1"/>
  <c r="E979" i="3" s="1"/>
  <c r="H979" i="3" s="1"/>
  <c r="AH979" i="3" l="1"/>
  <c r="K979" i="3"/>
  <c r="AE979" i="3" s="1"/>
  <c r="D979" i="3"/>
  <c r="AG979" i="3"/>
  <c r="F979" i="3" l="1"/>
  <c r="G979" i="3"/>
  <c r="V979" i="3"/>
  <c r="A980" i="3"/>
  <c r="B980" i="3" s="1"/>
  <c r="AD980" i="3" l="1"/>
  <c r="Z980" i="3"/>
  <c r="AA980" i="3"/>
  <c r="P980" i="3"/>
  <c r="Q980" i="3" s="1"/>
  <c r="R980" i="3" s="1"/>
  <c r="S980" i="3" s="1"/>
  <c r="AC980" i="3"/>
  <c r="I979" i="3"/>
  <c r="W979" i="3" s="1"/>
  <c r="J979" i="3"/>
  <c r="M979" i="3"/>
  <c r="N979" i="3" s="1"/>
  <c r="T980" i="3" l="1"/>
  <c r="L979" i="3"/>
  <c r="U979" i="3" l="1"/>
  <c r="D980" i="3" s="1"/>
  <c r="AH980" i="3"/>
  <c r="AG980" i="3"/>
  <c r="Y978" i="3"/>
  <c r="E980" i="3" l="1"/>
  <c r="H980" i="3" s="1"/>
  <c r="K980" i="3" s="1"/>
  <c r="AE980" i="3" s="1"/>
  <c r="G980" i="3"/>
  <c r="F980" i="3" l="1"/>
  <c r="V980" i="3"/>
  <c r="A981" i="3"/>
  <c r="B981" i="3" s="1"/>
  <c r="I980" i="3"/>
  <c r="J980" i="3"/>
  <c r="M980" i="3"/>
  <c r="N980" i="3" s="1"/>
  <c r="L980" i="3" l="1"/>
  <c r="AD981" i="3"/>
  <c r="AA981" i="3"/>
  <c r="P981" i="3"/>
  <c r="Q981" i="3" s="1"/>
  <c r="R981" i="3" s="1"/>
  <c r="S981" i="3" s="1"/>
  <c r="AC981" i="3"/>
  <c r="Z981" i="3"/>
  <c r="W980" i="3"/>
  <c r="T981" i="3" l="1"/>
  <c r="AH981" i="3" s="1"/>
  <c r="U980" i="3"/>
  <c r="Y979" i="3"/>
  <c r="AG981" i="3" l="1"/>
  <c r="D981" i="3"/>
  <c r="G981" i="3" s="1"/>
  <c r="E981" i="3"/>
  <c r="H981" i="3" s="1"/>
  <c r="K981" i="3" s="1"/>
  <c r="AE981" i="3" s="1"/>
  <c r="F981" i="3" l="1"/>
  <c r="I981" i="3"/>
  <c r="J981" i="3"/>
  <c r="M981" i="3"/>
  <c r="N981" i="3" s="1"/>
  <c r="V981" i="3"/>
  <c r="A982" i="3"/>
  <c r="B982" i="3" s="1"/>
  <c r="W981" i="3" l="1"/>
  <c r="AC982" i="3"/>
  <c r="P982" i="3"/>
  <c r="Q982" i="3" s="1"/>
  <c r="R982" i="3" s="1"/>
  <c r="S982" i="3" s="1"/>
  <c r="AD982" i="3"/>
  <c r="Z982" i="3"/>
  <c r="AA982" i="3"/>
  <c r="L981" i="3"/>
  <c r="T982" i="3" l="1"/>
  <c r="AG982" i="3" s="1"/>
  <c r="U981" i="3"/>
  <c r="Y980" i="3"/>
  <c r="AH982" i="3" l="1"/>
  <c r="D982" i="3"/>
  <c r="G982" i="3" s="1"/>
  <c r="E982" i="3"/>
  <c r="H982" i="3" s="1"/>
  <c r="K982" i="3" s="1"/>
  <c r="AE982" i="3" s="1"/>
  <c r="F982" i="3" l="1"/>
  <c r="V982" i="3"/>
  <c r="A983" i="3"/>
  <c r="B983" i="3" s="1"/>
  <c r="I982" i="3"/>
  <c r="J982" i="3"/>
  <c r="M982" i="3"/>
  <c r="N982" i="3" s="1"/>
  <c r="L982" i="3" l="1"/>
  <c r="AC983" i="3"/>
  <c r="AD983" i="3"/>
  <c r="Z983" i="3"/>
  <c r="AA983" i="3"/>
  <c r="P983" i="3"/>
  <c r="Q983" i="3" s="1"/>
  <c r="R983" i="3" s="1"/>
  <c r="S983" i="3" s="1"/>
  <c r="W982" i="3"/>
  <c r="T983" i="3" l="1"/>
  <c r="U982" i="3"/>
  <c r="Y981" i="3"/>
  <c r="E983" i="3" l="1"/>
  <c r="H983" i="3" s="1"/>
  <c r="K983" i="3" s="1"/>
  <c r="AE983" i="3" s="1"/>
  <c r="D983" i="3"/>
  <c r="G983" i="3" s="1"/>
  <c r="AH983" i="3"/>
  <c r="AG983" i="3"/>
  <c r="F983" i="3" l="1"/>
  <c r="V983" i="3"/>
  <c r="A984" i="3"/>
  <c r="B984" i="3" s="1"/>
  <c r="I983" i="3"/>
  <c r="J983" i="3"/>
  <c r="M983" i="3"/>
  <c r="N983" i="3" s="1"/>
  <c r="AD984" i="3" l="1"/>
  <c r="P984" i="3"/>
  <c r="Q984" i="3" s="1"/>
  <c r="R984" i="3" s="1"/>
  <c r="S984" i="3" s="1"/>
  <c r="Z984" i="3"/>
  <c r="AA984" i="3"/>
  <c r="AC984" i="3"/>
  <c r="L983" i="3"/>
  <c r="W983" i="3"/>
  <c r="U983" i="3" l="1"/>
  <c r="Y982" i="3"/>
  <c r="T984" i="3"/>
  <c r="E984" i="3" l="1"/>
  <c r="H984" i="3" s="1"/>
  <c r="K984" i="3" s="1"/>
  <c r="AE984" i="3" s="1"/>
  <c r="AH984" i="3"/>
  <c r="AG984" i="3"/>
  <c r="D984" i="3"/>
  <c r="F984" i="3" l="1"/>
  <c r="G984" i="3"/>
  <c r="I984" i="3" s="1"/>
  <c r="V984" i="3"/>
  <c r="A985" i="3"/>
  <c r="B985" i="3" s="1"/>
  <c r="M984" i="3" l="1"/>
  <c r="N984" i="3" s="1"/>
  <c r="J984" i="3"/>
  <c r="L984" i="3" s="1"/>
  <c r="W984" i="3"/>
  <c r="Z985" i="3"/>
  <c r="P985" i="3"/>
  <c r="Q985" i="3" s="1"/>
  <c r="R985" i="3" s="1"/>
  <c r="S985" i="3" s="1"/>
  <c r="AA985" i="3"/>
  <c r="AD985" i="3"/>
  <c r="AC985" i="3"/>
  <c r="T985" i="3" l="1"/>
  <c r="AG985" i="3" s="1"/>
  <c r="U984" i="3"/>
  <c r="Y983" i="3"/>
  <c r="D985" i="3" l="1"/>
  <c r="G985" i="3" s="1"/>
  <c r="E985" i="3"/>
  <c r="H985" i="3" s="1"/>
  <c r="K985" i="3" s="1"/>
  <c r="AE985" i="3" s="1"/>
  <c r="AH985" i="3"/>
  <c r="F985" i="3" l="1"/>
  <c r="I985" i="3"/>
  <c r="J985" i="3"/>
  <c r="M985" i="3"/>
  <c r="N985" i="3" s="1"/>
  <c r="V985" i="3"/>
  <c r="A986" i="3"/>
  <c r="B986" i="3" s="1"/>
  <c r="W985" i="3" l="1"/>
  <c r="AC986" i="3"/>
  <c r="AA986" i="3"/>
  <c r="AD986" i="3"/>
  <c r="Z986" i="3"/>
  <c r="P986" i="3"/>
  <c r="Q986" i="3" s="1"/>
  <c r="R986" i="3" s="1"/>
  <c r="S986" i="3" s="1"/>
  <c r="L985" i="3"/>
  <c r="T986" i="3" l="1"/>
  <c r="AH986" i="3" s="1"/>
  <c r="U985" i="3"/>
  <c r="Y984" i="3"/>
  <c r="D986" i="3" l="1"/>
  <c r="G986" i="3" s="1"/>
  <c r="AG986" i="3"/>
  <c r="E986" i="3"/>
  <c r="H986" i="3" s="1"/>
  <c r="K986" i="3" s="1"/>
  <c r="AE986" i="3" s="1"/>
  <c r="F986" i="3" l="1"/>
  <c r="I986" i="3"/>
  <c r="J986" i="3"/>
  <c r="M986" i="3"/>
  <c r="N986" i="3" s="1"/>
  <c r="V986" i="3"/>
  <c r="A987" i="3"/>
  <c r="B987" i="3" s="1"/>
  <c r="W986" i="3" l="1"/>
  <c r="AD987" i="3"/>
  <c r="AA987" i="3"/>
  <c r="Z987" i="3"/>
  <c r="AC987" i="3"/>
  <c r="P987" i="3"/>
  <c r="Q987" i="3" s="1"/>
  <c r="R987" i="3" s="1"/>
  <c r="S987" i="3" s="1"/>
  <c r="L986" i="3"/>
  <c r="T987" i="3" l="1"/>
  <c r="AH987" i="3" s="1"/>
  <c r="U986" i="3"/>
  <c r="Y985" i="3"/>
  <c r="D987" i="3" l="1"/>
  <c r="G987" i="3" s="1"/>
  <c r="AG987" i="3"/>
  <c r="E987" i="3"/>
  <c r="H987" i="3" s="1"/>
  <c r="K987" i="3" s="1"/>
  <c r="AE987" i="3" s="1"/>
  <c r="F987" i="3" l="1"/>
  <c r="V987" i="3"/>
  <c r="A988" i="3"/>
  <c r="B988" i="3" s="1"/>
  <c r="I987" i="3"/>
  <c r="J987" i="3"/>
  <c r="M987" i="3"/>
  <c r="N987" i="3" s="1"/>
  <c r="L987" i="3" l="1"/>
  <c r="Z988" i="3"/>
  <c r="AD988" i="3"/>
  <c r="P988" i="3"/>
  <c r="Q988" i="3" s="1"/>
  <c r="R988" i="3" s="1"/>
  <c r="S988" i="3" s="1"/>
  <c r="AA988" i="3"/>
  <c r="AC988" i="3"/>
  <c r="W987" i="3"/>
  <c r="T988" i="3" l="1"/>
  <c r="AH988" i="3" s="1"/>
  <c r="U987" i="3"/>
  <c r="Y986" i="3"/>
  <c r="E988" i="3" l="1"/>
  <c r="H988" i="3" s="1"/>
  <c r="K988" i="3" s="1"/>
  <c r="AE988" i="3" s="1"/>
  <c r="AG988" i="3"/>
  <c r="D988" i="3"/>
  <c r="F988" i="3" l="1"/>
  <c r="G988" i="3"/>
  <c r="I988" i="3" s="1"/>
  <c r="V988" i="3"/>
  <c r="A989" i="3"/>
  <c r="B989" i="3" s="1"/>
  <c r="M988" i="3" l="1"/>
  <c r="N988" i="3" s="1"/>
  <c r="J988" i="3"/>
  <c r="L988" i="3" s="1"/>
  <c r="Z989" i="3"/>
  <c r="AA989" i="3"/>
  <c r="AD989" i="3"/>
  <c r="P989" i="3"/>
  <c r="Q989" i="3" s="1"/>
  <c r="R989" i="3" s="1"/>
  <c r="S989" i="3" s="1"/>
  <c r="AC989" i="3"/>
  <c r="W988" i="3"/>
  <c r="T989" i="3" l="1"/>
  <c r="AG989" i="3" s="1"/>
  <c r="U988" i="3"/>
  <c r="Y987" i="3"/>
  <c r="E989" i="3" l="1"/>
  <c r="H989" i="3" s="1"/>
  <c r="K989" i="3" s="1"/>
  <c r="AE989" i="3" s="1"/>
  <c r="AH989" i="3"/>
  <c r="D989" i="3"/>
  <c r="F989" i="3" l="1"/>
  <c r="G989" i="3"/>
  <c r="I989" i="3" s="1"/>
  <c r="V989" i="3"/>
  <c r="A990" i="3"/>
  <c r="B990" i="3" s="1"/>
  <c r="M989" i="3" l="1"/>
  <c r="N989" i="3" s="1"/>
  <c r="J989" i="3"/>
  <c r="L989" i="3" s="1"/>
  <c r="W989" i="3"/>
  <c r="AA990" i="3"/>
  <c r="P990" i="3"/>
  <c r="Q990" i="3" s="1"/>
  <c r="R990" i="3" s="1"/>
  <c r="S990" i="3" s="1"/>
  <c r="Z990" i="3"/>
  <c r="AD990" i="3"/>
  <c r="AC990" i="3"/>
  <c r="T990" i="3" l="1"/>
  <c r="AH990" i="3" s="1"/>
  <c r="U989" i="3"/>
  <c r="Y988" i="3"/>
  <c r="E990" i="3" l="1"/>
  <c r="H990" i="3" s="1"/>
  <c r="K990" i="3" s="1"/>
  <c r="AE990" i="3" s="1"/>
  <c r="AG990" i="3"/>
  <c r="D990" i="3"/>
  <c r="F990" i="3" l="1"/>
  <c r="G990" i="3"/>
  <c r="I990" i="3" s="1"/>
  <c r="V990" i="3"/>
  <c r="A991" i="3"/>
  <c r="B991" i="3" s="1"/>
  <c r="J990" i="3" l="1"/>
  <c r="L990" i="3" s="1"/>
  <c r="W990" i="3"/>
  <c r="M990" i="3"/>
  <c r="N990" i="3" s="1"/>
  <c r="AD991" i="3"/>
  <c r="AC991" i="3"/>
  <c r="P991" i="3"/>
  <c r="Q991" i="3" s="1"/>
  <c r="R991" i="3" s="1"/>
  <c r="S991" i="3" s="1"/>
  <c r="AA991" i="3"/>
  <c r="Z991" i="3"/>
  <c r="T991" i="3" l="1"/>
  <c r="AH991" i="3" s="1"/>
  <c r="U990" i="3"/>
  <c r="Y989" i="3"/>
  <c r="D991" i="3" l="1"/>
  <c r="G991" i="3" s="1"/>
  <c r="E991" i="3"/>
  <c r="H991" i="3" s="1"/>
  <c r="K991" i="3" s="1"/>
  <c r="AE991" i="3" s="1"/>
  <c r="AG991" i="3"/>
  <c r="F991" i="3" l="1"/>
  <c r="V991" i="3"/>
  <c r="A992" i="3"/>
  <c r="B992" i="3" s="1"/>
  <c r="I991" i="3"/>
  <c r="J991" i="3"/>
  <c r="M991" i="3"/>
  <c r="N991" i="3" s="1"/>
  <c r="L991" i="3" l="1"/>
  <c r="AC992" i="3"/>
  <c r="AA992" i="3"/>
  <c r="AD992" i="3"/>
  <c r="P992" i="3"/>
  <c r="Q992" i="3" s="1"/>
  <c r="R992" i="3" s="1"/>
  <c r="S992" i="3" s="1"/>
  <c r="Z992" i="3"/>
  <c r="W991" i="3"/>
  <c r="U991" i="3" l="1"/>
  <c r="Y990" i="3"/>
  <c r="T992" i="3"/>
  <c r="E992" i="3" l="1"/>
  <c r="H992" i="3" s="1"/>
  <c r="K992" i="3" s="1"/>
  <c r="AE992" i="3" s="1"/>
  <c r="AG992" i="3"/>
  <c r="D992" i="3"/>
  <c r="AH992" i="3"/>
  <c r="F992" i="3" l="1"/>
  <c r="G992" i="3"/>
  <c r="V992" i="3"/>
  <c r="A993" i="3"/>
  <c r="B993" i="3" s="1"/>
  <c r="AA993" i="3" l="1"/>
  <c r="AD993" i="3"/>
  <c r="Z993" i="3"/>
  <c r="AC993" i="3"/>
  <c r="P993" i="3"/>
  <c r="Q993" i="3" s="1"/>
  <c r="R993" i="3" s="1"/>
  <c r="S993" i="3" s="1"/>
  <c r="I992" i="3"/>
  <c r="W992" i="3" s="1"/>
  <c r="J992" i="3"/>
  <c r="M992" i="3"/>
  <c r="N992" i="3" s="1"/>
  <c r="L992" i="3" l="1"/>
  <c r="T993" i="3"/>
  <c r="AG993" i="3" l="1"/>
  <c r="AH993" i="3"/>
  <c r="U992" i="3"/>
  <c r="D993" i="3" s="1"/>
  <c r="Y991" i="3"/>
  <c r="E993" i="3" l="1"/>
  <c r="H993" i="3" s="1"/>
  <c r="K993" i="3" s="1"/>
  <c r="AE993" i="3" s="1"/>
  <c r="G993" i="3"/>
  <c r="F993" i="3" l="1"/>
  <c r="V993" i="3"/>
  <c r="A994" i="3"/>
  <c r="B994" i="3" s="1"/>
  <c r="I993" i="3"/>
  <c r="J993" i="3"/>
  <c r="M993" i="3"/>
  <c r="N993" i="3" s="1"/>
  <c r="L993" i="3" l="1"/>
  <c r="W993" i="3"/>
  <c r="AD994" i="3"/>
  <c r="AA994" i="3"/>
  <c r="AC994" i="3"/>
  <c r="Z994" i="3"/>
  <c r="P994" i="3"/>
  <c r="Q994" i="3" s="1"/>
  <c r="R994" i="3" s="1"/>
  <c r="S994" i="3" s="1"/>
  <c r="T994" i="3" l="1"/>
  <c r="AG994" i="3" s="1"/>
  <c r="U993" i="3"/>
  <c r="Y992" i="3"/>
  <c r="E994" i="3" l="1"/>
  <c r="H994" i="3" s="1"/>
  <c r="K994" i="3" s="1"/>
  <c r="AE994" i="3" s="1"/>
  <c r="AH994" i="3"/>
  <c r="D994" i="3"/>
  <c r="F994" i="3" l="1"/>
  <c r="G994" i="3"/>
  <c r="V994" i="3"/>
  <c r="A995" i="3"/>
  <c r="B995" i="3" s="1"/>
  <c r="AD995" i="3" l="1"/>
  <c r="AC995" i="3"/>
  <c r="AA995" i="3"/>
  <c r="Z995" i="3"/>
  <c r="P995" i="3"/>
  <c r="Q995" i="3" s="1"/>
  <c r="R995" i="3" s="1"/>
  <c r="S995" i="3" s="1"/>
  <c r="I994" i="3"/>
  <c r="W994" i="3" s="1"/>
  <c r="J994" i="3"/>
  <c r="M994" i="3"/>
  <c r="N994" i="3" s="1"/>
  <c r="T995" i="3" l="1"/>
  <c r="L994" i="3"/>
  <c r="AH995" i="3" l="1"/>
  <c r="AG995" i="3"/>
  <c r="U994" i="3"/>
  <c r="D995" i="3" s="1"/>
  <c r="Y993" i="3"/>
  <c r="G995" i="3" l="1"/>
  <c r="E995" i="3"/>
  <c r="H995" i="3" s="1"/>
  <c r="K995" i="3" l="1"/>
  <c r="AE995" i="3" s="1"/>
  <c r="I995" i="3"/>
  <c r="J995" i="3"/>
  <c r="M995" i="3"/>
  <c r="N995" i="3" s="1"/>
  <c r="F995" i="3"/>
  <c r="L995" i="3" l="1"/>
  <c r="V995" i="3"/>
  <c r="W995" i="3" s="1"/>
  <c r="A996" i="3"/>
  <c r="B996" i="3" s="1"/>
  <c r="AA996" i="3" l="1"/>
  <c r="Z996" i="3"/>
  <c r="AD996" i="3"/>
  <c r="P996" i="3"/>
  <c r="Q996" i="3" s="1"/>
  <c r="R996" i="3" s="1"/>
  <c r="S996" i="3" s="1"/>
  <c r="AC996" i="3"/>
  <c r="U995" i="3"/>
  <c r="Y994" i="3"/>
  <c r="T996" i="3" l="1"/>
  <c r="AH996" i="3" s="1"/>
  <c r="AG996" i="3" l="1"/>
  <c r="E996" i="3"/>
  <c r="H996" i="3" s="1"/>
  <c r="K996" i="3" s="1"/>
  <c r="AE996" i="3" s="1"/>
  <c r="D996" i="3"/>
  <c r="G996" i="3" s="1"/>
  <c r="F996" i="3" l="1"/>
  <c r="I996" i="3"/>
  <c r="J996" i="3"/>
  <c r="M996" i="3"/>
  <c r="N996" i="3" s="1"/>
  <c r="V996" i="3"/>
  <c r="A997" i="3"/>
  <c r="B997" i="3" s="1"/>
  <c r="W996" i="3" l="1"/>
  <c r="AD997" i="3"/>
  <c r="P997" i="3"/>
  <c r="Q997" i="3" s="1"/>
  <c r="R997" i="3" s="1"/>
  <c r="S997" i="3" s="1"/>
  <c r="AA997" i="3"/>
  <c r="Z997" i="3"/>
  <c r="AC997" i="3"/>
  <c r="L996" i="3"/>
  <c r="T997" i="3" l="1"/>
  <c r="AH997" i="3" s="1"/>
  <c r="U996" i="3"/>
  <c r="Y995" i="3"/>
  <c r="AG997" i="3" l="1"/>
  <c r="E997" i="3"/>
  <c r="H997" i="3" s="1"/>
  <c r="K997" i="3" s="1"/>
  <c r="AE997" i="3" s="1"/>
  <c r="D997" i="3"/>
  <c r="F997" i="3" l="1"/>
  <c r="G997" i="3"/>
  <c r="I997" i="3" s="1"/>
  <c r="V997" i="3"/>
  <c r="A998" i="3"/>
  <c r="B998" i="3" s="1"/>
  <c r="M997" i="3" l="1"/>
  <c r="N997" i="3" s="1"/>
  <c r="W997" i="3"/>
  <c r="J997" i="3"/>
  <c r="L997" i="3" s="1"/>
  <c r="Z998" i="3"/>
  <c r="AC998" i="3"/>
  <c r="AA998" i="3"/>
  <c r="AD998" i="3"/>
  <c r="P998" i="3"/>
  <c r="Q998" i="3" s="1"/>
  <c r="R998" i="3" s="1"/>
  <c r="S998" i="3" s="1"/>
  <c r="T998" i="3" l="1"/>
  <c r="AG998" i="3" s="1"/>
  <c r="U997" i="3"/>
  <c r="Y996" i="3"/>
  <c r="AH998" i="3" l="1"/>
  <c r="E998" i="3"/>
  <c r="H998" i="3" s="1"/>
  <c r="K998" i="3" s="1"/>
  <c r="AE998" i="3" s="1"/>
  <c r="D998" i="3"/>
  <c r="F998" i="3" l="1"/>
  <c r="G998" i="3"/>
  <c r="I998" i="3" s="1"/>
  <c r="V998" i="3"/>
  <c r="A999" i="3"/>
  <c r="B999" i="3" s="1"/>
  <c r="M998" i="3" l="1"/>
  <c r="N998" i="3" s="1"/>
  <c r="J998" i="3"/>
  <c r="L998" i="3" s="1"/>
  <c r="AC999" i="3"/>
  <c r="P999" i="3"/>
  <c r="Q999" i="3" s="1"/>
  <c r="R999" i="3" s="1"/>
  <c r="S999" i="3" s="1"/>
  <c r="AA999" i="3"/>
  <c r="Z999" i="3"/>
  <c r="AD999" i="3"/>
  <c r="W998" i="3"/>
  <c r="T999" i="3" l="1"/>
  <c r="AG999" i="3" s="1"/>
  <c r="U998" i="3"/>
  <c r="Y997" i="3"/>
  <c r="E999" i="3" l="1"/>
  <c r="H999" i="3" s="1"/>
  <c r="K999" i="3" s="1"/>
  <c r="AE999" i="3" s="1"/>
  <c r="AH999" i="3"/>
  <c r="D999" i="3"/>
  <c r="F999" i="3" l="1"/>
  <c r="G999" i="3"/>
  <c r="V999" i="3"/>
  <c r="A1000" i="3"/>
  <c r="B1000" i="3" s="1"/>
  <c r="I999" i="3" l="1"/>
  <c r="W999" i="3" s="1"/>
  <c r="J999" i="3"/>
  <c r="M999" i="3"/>
  <c r="N999" i="3" s="1"/>
  <c r="P1000" i="3"/>
  <c r="Q1000" i="3" s="1"/>
  <c r="R1000" i="3" s="1"/>
  <c r="S1000" i="3" s="1"/>
  <c r="Z1000" i="3"/>
  <c r="AC1000" i="3"/>
  <c r="AA1000" i="3"/>
  <c r="AD1000" i="3"/>
  <c r="T1000" i="3" l="1"/>
  <c r="L999" i="3"/>
  <c r="AH1000" i="3" l="1"/>
  <c r="U999" i="3"/>
  <c r="E1000" i="3" s="1"/>
  <c r="H1000" i="3" s="1"/>
  <c r="AG1000" i="3"/>
  <c r="Y998" i="3"/>
  <c r="D1000" i="3" l="1"/>
  <c r="F1000" i="3" s="1"/>
  <c r="K1000" i="3"/>
  <c r="AE1000" i="3" s="1"/>
  <c r="G1000" i="3" l="1"/>
  <c r="I1000" i="3" s="1"/>
  <c r="V1000" i="3"/>
  <c r="A1001" i="3"/>
  <c r="B1001" i="3" s="1"/>
  <c r="M1000" i="3" l="1"/>
  <c r="N1000" i="3" s="1"/>
  <c r="J1000" i="3"/>
  <c r="L1000" i="3" s="1"/>
  <c r="Z1001" i="3"/>
  <c r="AA1001" i="3"/>
  <c r="P1001" i="3"/>
  <c r="Q1001" i="3" s="1"/>
  <c r="R1001" i="3" s="1"/>
  <c r="S1001" i="3" s="1"/>
  <c r="AD1001" i="3"/>
  <c r="AC1001" i="3"/>
  <c r="W1000" i="3"/>
  <c r="T1001" i="3" l="1"/>
  <c r="AH1001" i="3" s="1"/>
  <c r="U1000" i="3"/>
  <c r="Y999" i="3"/>
  <c r="D1001" i="3" l="1"/>
  <c r="G1001" i="3" s="1"/>
  <c r="E1001" i="3"/>
  <c r="H1001" i="3" s="1"/>
  <c r="K1001" i="3" s="1"/>
  <c r="AE1001" i="3" s="1"/>
  <c r="AG1001" i="3"/>
  <c r="F1001" i="3" l="1"/>
  <c r="V1001" i="3"/>
  <c r="A1002" i="3"/>
  <c r="B1002" i="3" s="1"/>
  <c r="I1001" i="3"/>
  <c r="J1001" i="3"/>
  <c r="M1001" i="3"/>
  <c r="N1001" i="3" s="1"/>
  <c r="L1001" i="3" l="1"/>
  <c r="AD1002" i="3"/>
  <c r="P1002" i="3"/>
  <c r="Q1002" i="3" s="1"/>
  <c r="R1002" i="3" s="1"/>
  <c r="S1002" i="3" s="1"/>
  <c r="AC1002" i="3"/>
  <c r="AA1002" i="3"/>
  <c r="Z1002" i="3"/>
  <c r="W1001" i="3"/>
  <c r="T1002" i="3" l="1"/>
  <c r="AG1002" i="3" s="1"/>
  <c r="U1001" i="3"/>
  <c r="Y1000" i="3"/>
  <c r="AH1002" i="3" l="1"/>
  <c r="D1002" i="3"/>
  <c r="G1002" i="3" s="1"/>
  <c r="E1002" i="3"/>
  <c r="H1002" i="3" s="1"/>
  <c r="K1002" i="3" s="1"/>
  <c r="AE1002" i="3" s="1"/>
  <c r="F1002" i="3" l="1"/>
  <c r="V1002" i="3"/>
  <c r="A1003" i="3"/>
  <c r="B1003" i="3" s="1"/>
  <c r="I1002" i="3"/>
  <c r="J1002" i="3"/>
  <c r="M1002" i="3"/>
  <c r="N1002" i="3" s="1"/>
  <c r="AA1003" i="3" l="1"/>
  <c r="Z1003" i="3"/>
  <c r="P1003" i="3"/>
  <c r="Q1003" i="3" s="1"/>
  <c r="R1003" i="3" s="1"/>
  <c r="S1003" i="3" s="1"/>
  <c r="AC1003" i="3"/>
  <c r="AD1003" i="3"/>
  <c r="L1002" i="3"/>
  <c r="W1002" i="3"/>
  <c r="T1003" i="3" l="1"/>
  <c r="AG1003" i="3" s="1"/>
  <c r="U1002" i="3"/>
  <c r="Y1001" i="3"/>
  <c r="D1003" i="3" l="1"/>
  <c r="G1003" i="3" s="1"/>
  <c r="AH1003" i="3"/>
  <c r="E1003" i="3"/>
  <c r="H1003" i="3" s="1"/>
  <c r="K1003" i="3" s="1"/>
  <c r="AE1003" i="3" s="1"/>
  <c r="F1003" i="3" l="1"/>
  <c r="I1003" i="3"/>
  <c r="J1003" i="3"/>
  <c r="M1003" i="3"/>
  <c r="N1003" i="3" s="1"/>
  <c r="V1003" i="3"/>
  <c r="A1004" i="3"/>
  <c r="B1004" i="3" s="1"/>
  <c r="W1003" i="3" l="1"/>
  <c r="AD1004" i="3"/>
  <c r="AC1004" i="3"/>
  <c r="AA1004" i="3"/>
  <c r="Z1004" i="3"/>
  <c r="P1004" i="3"/>
  <c r="Q1004" i="3" s="1"/>
  <c r="R1004" i="3" s="1"/>
  <c r="S1004" i="3" s="1"/>
  <c r="T1004" i="3" s="1"/>
  <c r="L1003" i="3"/>
  <c r="K46" i="1" l="1"/>
  <c r="I46" i="1"/>
  <c r="J27" i="1"/>
  <c r="L46" i="1"/>
  <c r="K27" i="1"/>
  <c r="I27" i="1"/>
  <c r="M46" i="1"/>
  <c r="J46" i="1"/>
  <c r="AG1004" i="3"/>
  <c r="AH1004" i="3"/>
  <c r="U1003" i="3"/>
  <c r="D1004" i="3" s="1"/>
  <c r="Y1002" i="3"/>
  <c r="J48" i="1"/>
  <c r="I25" i="1"/>
  <c r="K48" i="1"/>
  <c r="L48" i="1"/>
  <c r="J25" i="1"/>
  <c r="I48" i="1"/>
  <c r="K25" i="1"/>
  <c r="M48" i="1"/>
  <c r="E1004" i="3" l="1"/>
  <c r="H1004" i="3" s="1"/>
  <c r="K1004" i="3" s="1"/>
  <c r="AE1004" i="3" s="1"/>
  <c r="G1004" i="3"/>
  <c r="C122" i="1"/>
  <c r="C155" i="1"/>
  <c r="C129" i="1"/>
  <c r="C130" i="1" s="1"/>
  <c r="C126" i="1"/>
  <c r="C121" i="1"/>
  <c r="C31" i="1"/>
  <c r="C33" i="1"/>
  <c r="J47" i="1" s="1"/>
  <c r="C124" i="1"/>
  <c r="H72" i="7"/>
  <c r="H73" i="7" s="1"/>
  <c r="M27" i="1"/>
  <c r="H70" i="7"/>
  <c r="M25" i="1"/>
  <c r="I72" i="7"/>
  <c r="I73" i="7" s="1"/>
  <c r="I70" i="7"/>
  <c r="B125" i="1"/>
  <c r="B123" i="1"/>
  <c r="B127" i="1"/>
  <c r="B128" i="1"/>
  <c r="B124" i="1"/>
  <c r="D155" i="1"/>
  <c r="B126" i="1"/>
  <c r="B129" i="1"/>
  <c r="D33" i="1"/>
  <c r="J49" i="1" s="1"/>
  <c r="D31" i="1"/>
  <c r="F1004" i="3" l="1"/>
  <c r="H47" i="1"/>
  <c r="C32" i="1"/>
  <c r="E31" i="7"/>
  <c r="I1004" i="3"/>
  <c r="J1004" i="3"/>
  <c r="L1004" i="3" s="1"/>
  <c r="Y1004" i="3" s="1"/>
  <c r="M1004" i="3"/>
  <c r="N1004" i="3" s="1"/>
  <c r="V1004" i="3"/>
  <c r="D32" i="1"/>
  <c r="H49" i="1"/>
  <c r="L42" i="1"/>
  <c r="L24" i="1"/>
  <c r="W1004" i="3" l="1"/>
  <c r="M43" i="1"/>
  <c r="L43" i="1"/>
  <c r="H43" i="1"/>
  <c r="H41" i="1"/>
  <c r="M41" i="1"/>
  <c r="K41" i="1"/>
  <c r="K43" i="1"/>
  <c r="I43" i="1"/>
  <c r="I41" i="1"/>
  <c r="M44" i="1"/>
  <c r="J45" i="1"/>
  <c r="L44" i="1"/>
  <c r="J43" i="1"/>
  <c r="K44" i="1"/>
  <c r="U1004" i="3"/>
  <c r="Y1003" i="3"/>
  <c r="L41" i="1" s="1"/>
  <c r="E120" i="7"/>
  <c r="F120" i="7" s="1"/>
  <c r="E62" i="7"/>
  <c r="F62" i="7" s="1"/>
  <c r="E119" i="7"/>
  <c r="F119" i="7" s="1"/>
  <c r="E133" i="7"/>
  <c r="L31" i="7"/>
  <c r="H117" i="7"/>
  <c r="E65" i="7"/>
  <c r="F65" i="7" s="1"/>
  <c r="E63" i="7"/>
  <c r="F63" i="7" s="1"/>
  <c r="H59" i="7"/>
  <c r="K42" i="1"/>
  <c r="K24" i="1"/>
  <c r="B135" i="1"/>
  <c r="B133" i="1"/>
  <c r="B132" i="1" s="1"/>
  <c r="F133" i="1"/>
  <c r="B137" i="1"/>
  <c r="F134" i="1"/>
  <c r="C133" i="1"/>
  <c r="C135" i="1"/>
  <c r="K26" i="1" l="1"/>
  <c r="H55" i="7" s="1"/>
  <c r="H45" i="1"/>
  <c r="H44" i="1"/>
  <c r="M45" i="1"/>
  <c r="I26" i="1"/>
  <c r="B192" i="1" s="1"/>
  <c r="L45" i="1"/>
  <c r="I44" i="1"/>
  <c r="H28" i="1"/>
  <c r="F132" i="1" s="1"/>
  <c r="J28" i="1"/>
  <c r="H19" i="7" s="1"/>
  <c r="H26" i="1"/>
  <c r="J41" i="1"/>
  <c r="J44" i="1"/>
  <c r="K23" i="1"/>
  <c r="F21" i="1" s="1"/>
  <c r="K45" i="1"/>
  <c r="K28" i="1" s="1"/>
  <c r="M28" i="1" s="1"/>
  <c r="J26" i="1"/>
  <c r="D181" i="1" s="1"/>
  <c r="H58" i="7"/>
  <c r="M31" i="7"/>
  <c r="E121" i="7"/>
  <c r="F121" i="7" s="1"/>
  <c r="H116" i="7"/>
  <c r="E64" i="7"/>
  <c r="F64" i="7" s="1"/>
  <c r="H114" i="7" l="1"/>
  <c r="E128" i="7"/>
  <c r="E129" i="7" s="1"/>
  <c r="F129" i="7" s="1"/>
  <c r="K31" i="7"/>
  <c r="B158" i="1"/>
  <c r="H31" i="7"/>
  <c r="B161" i="1"/>
  <c r="B199" i="1"/>
  <c r="B164" i="1"/>
  <c r="H54" i="7"/>
  <c r="B180" i="1"/>
  <c r="B183" i="1"/>
  <c r="B187" i="1"/>
  <c r="B168" i="1"/>
  <c r="B173" i="1"/>
  <c r="B169" i="1"/>
  <c r="C118" i="1"/>
  <c r="B195" i="1"/>
  <c r="B163" i="1"/>
  <c r="B174" i="1"/>
  <c r="B179" i="1"/>
  <c r="B198" i="1"/>
  <c r="B171" i="1"/>
  <c r="B190" i="1"/>
  <c r="H113" i="7"/>
  <c r="B172" i="1"/>
  <c r="B193" i="1"/>
  <c r="B186" i="1"/>
  <c r="B120" i="1"/>
  <c r="B166" i="1"/>
  <c r="C156" i="1"/>
  <c r="B188" i="1"/>
  <c r="B167" i="1"/>
  <c r="B182" i="1"/>
  <c r="B194" i="1"/>
  <c r="B185" i="1"/>
  <c r="B176" i="1"/>
  <c r="B165" i="1"/>
  <c r="B170" i="1"/>
  <c r="S26" i="6"/>
  <c r="B162" i="1"/>
  <c r="B181" i="1"/>
  <c r="B175" i="1"/>
  <c r="B184" i="1"/>
  <c r="B191" i="1"/>
  <c r="B196" i="1"/>
  <c r="B197" i="1"/>
  <c r="B189" i="1"/>
  <c r="F150" i="1"/>
  <c r="F151" i="1"/>
  <c r="H112" i="7"/>
  <c r="S25" i="6"/>
  <c r="H44" i="7"/>
  <c r="P29" i="1"/>
  <c r="H57" i="7"/>
  <c r="P32" i="1"/>
  <c r="D31" i="7"/>
  <c r="H53" i="7"/>
  <c r="H115" i="7"/>
  <c r="H56" i="7"/>
  <c r="P31" i="1"/>
  <c r="I67" i="7"/>
  <c r="J31" i="7"/>
  <c r="F184" i="1"/>
  <c r="F196" i="1"/>
  <c r="D177" i="1"/>
  <c r="D160" i="1"/>
  <c r="F181" i="1"/>
  <c r="H11" i="7"/>
  <c r="D182" i="1"/>
  <c r="P30" i="1"/>
  <c r="F172" i="1"/>
  <c r="D172" i="1"/>
  <c r="D166" i="1"/>
  <c r="D167" i="1"/>
  <c r="D184" i="1"/>
  <c r="D168" i="1"/>
  <c r="F190" i="1"/>
  <c r="D164" i="1"/>
  <c r="D156" i="1"/>
  <c r="D194" i="1"/>
  <c r="D185" i="1"/>
  <c r="D179" i="1"/>
  <c r="D195" i="1"/>
  <c r="D170" i="1"/>
  <c r="F178" i="1"/>
  <c r="D188" i="1"/>
  <c r="F189" i="1"/>
  <c r="F182" i="1"/>
  <c r="F169" i="1"/>
  <c r="F186" i="1"/>
  <c r="F159" i="1"/>
  <c r="F185" i="1"/>
  <c r="D183" i="1"/>
  <c r="D180" i="1"/>
  <c r="D197" i="1"/>
  <c r="F187" i="1"/>
  <c r="F161" i="1"/>
  <c r="F168" i="1"/>
  <c r="D159" i="1"/>
  <c r="D174" i="1"/>
  <c r="F174" i="1"/>
  <c r="D169" i="1"/>
  <c r="D189" i="1"/>
  <c r="D173" i="1"/>
  <c r="F166" i="1"/>
  <c r="D165" i="1"/>
  <c r="D191" i="1"/>
  <c r="F177" i="1"/>
  <c r="F173" i="1"/>
  <c r="F160" i="1"/>
  <c r="D162" i="1"/>
  <c r="F179" i="1"/>
  <c r="D161" i="1"/>
  <c r="D187" i="1"/>
  <c r="F167" i="1"/>
  <c r="D163" i="1"/>
  <c r="F164" i="1"/>
  <c r="F162" i="1"/>
  <c r="F194" i="1"/>
  <c r="F197" i="1"/>
  <c r="F171" i="1"/>
  <c r="D196" i="1"/>
  <c r="D171" i="1"/>
  <c r="D190" i="1"/>
  <c r="F191" i="1"/>
  <c r="D193" i="1"/>
  <c r="F193" i="1"/>
  <c r="D186" i="1"/>
  <c r="F165" i="1"/>
  <c r="D178" i="1"/>
  <c r="F183" i="1"/>
  <c r="F180" i="1"/>
  <c r="D192" i="1"/>
  <c r="F195" i="1"/>
  <c r="F188" i="1"/>
  <c r="F163" i="1"/>
  <c r="F192" i="1"/>
  <c r="F170" i="1"/>
  <c r="C134" i="1"/>
  <c r="B134" i="1"/>
  <c r="C132" i="1"/>
  <c r="B136" i="1"/>
  <c r="F128" i="7" l="1"/>
  <c r="U20" i="7"/>
  <c r="K23" i="7"/>
  <c r="J92" i="7"/>
  <c r="O9" i="6"/>
  <c r="M24" i="6" s="1"/>
  <c r="K26" i="7" l="1"/>
  <c r="D129" i="6"/>
  <c r="D130" i="6" s="1"/>
  <c r="E130" i="6" s="1"/>
  <c r="H31" i="6"/>
  <c r="I31" i="6"/>
  <c r="D128" i="6"/>
  <c r="E128" i="6" s="1"/>
  <c r="E129" i="6"/>
  <c r="C129" i="6"/>
  <c r="J86" i="7"/>
  <c r="U13" i="7"/>
  <c r="C128" i="6"/>
  <c r="C153" i="6" l="1"/>
  <c r="B192" i="6"/>
  <c r="B191" i="6"/>
  <c r="C154" i="6"/>
  <c r="I29" i="6"/>
  <c r="C157" i="6"/>
  <c r="C156" i="6" s="1"/>
  <c r="C151" i="6"/>
  <c r="H32" i="6"/>
  <c r="H29" i="6"/>
  <c r="B193" i="6"/>
  <c r="C152" i="6"/>
  <c r="I32" i="6"/>
  <c r="I30" i="6" l="1"/>
  <c r="I14" i="7"/>
  <c r="I47" i="7"/>
  <c r="S29" i="6"/>
  <c r="B194" i="6"/>
  <c r="H14" i="7"/>
  <c r="H30" i="6"/>
  <c r="H47" i="7"/>
  <c r="B190" i="6"/>
  <c r="H48" i="7" l="1"/>
  <c r="H15" i="7"/>
  <c r="S30" i="6"/>
  <c r="H33" i="6"/>
  <c r="I15" i="7"/>
  <c r="I4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M363040</author>
    <author>Léo Côme</author>
    <author>collectif</author>
  </authors>
  <commentList>
    <comment ref="M5" authorId="0" shapeId="0" xr:uid="{C00A2927-28AD-A644-9363-AEB0698AAD35}">
      <text>
        <r>
          <rPr>
            <sz val="8"/>
            <color rgb="FF000000"/>
            <rFont val="Tahoma"/>
            <family val="2"/>
          </rPr>
          <t xml:space="preserve">Définir les propriétés du 1er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1st diameter transition.
</t>
        </r>
        <r>
          <rPr>
            <i/>
            <sz val="8"/>
            <color rgb="FF000000"/>
            <rFont val="Tahoma"/>
            <family val="2"/>
          </rPr>
          <t>Leave this column blank if no skirt/shrink on the rocket.</t>
        </r>
      </text>
    </comment>
    <comment ref="O5" authorId="0" shapeId="0" xr:uid="{A6AA1789-92C0-7140-B69E-1B383ED6F936}">
      <text>
        <r>
          <rPr>
            <sz val="8"/>
            <color rgb="FF000000"/>
            <rFont val="Tahoma"/>
            <family val="2"/>
          </rPr>
          <t xml:space="preserve">Définir les propriétés du 2e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2e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2nd diameter transition.
</t>
        </r>
        <r>
          <rPr>
            <i/>
            <sz val="8"/>
            <color rgb="FF000000"/>
            <rFont val="Tahoma"/>
            <family val="2"/>
          </rPr>
          <t>Leave this column blank if no 2nd skirt/shrink on the rocket.</t>
        </r>
      </text>
    </comment>
    <comment ref="L6" authorId="1" shapeId="0" xr:uid="{9494616D-946E-B442-8557-DC8A1986DF1E}">
      <text>
        <r>
          <rPr>
            <b/>
            <sz val="8"/>
            <color indexed="8"/>
            <rFont val="Tahoma"/>
            <family val="2"/>
          </rPr>
          <t>Hauteur</t>
        </r>
        <r>
          <rPr>
            <sz val="8"/>
            <color indexed="8"/>
            <rFont val="Tahoma"/>
            <family val="2"/>
          </rPr>
          <t xml:space="preserve"> du changement de diamètre (cf. schéma sur fond bleu).
</t>
        </r>
        <r>
          <rPr>
            <i/>
            <sz val="8"/>
            <color indexed="8"/>
            <rFont val="Tahoma"/>
            <family val="2"/>
          </rPr>
          <t>Height of the tronconical transition (cf. blue schematic).</t>
        </r>
      </text>
    </comment>
    <comment ref="L7" authorId="1" shapeId="0" xr:uid="{BF1BE417-36BC-4F4F-93BB-8FE992761D7B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au dessus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Upper Diameter (cf. blue schematic).</t>
        </r>
      </text>
    </comment>
    <comment ref="L8" authorId="1" shapeId="0" xr:uid="{5DEDB60A-839F-2942-8F3B-65DF0E627593}">
      <text>
        <r>
          <rPr>
            <sz val="8"/>
            <color rgb="FF000000"/>
            <rFont val="Tahoma"/>
            <family val="2"/>
          </rPr>
          <t xml:space="preserve">Diamètre de la partie située </t>
        </r>
        <r>
          <rPr>
            <b/>
            <sz val="8"/>
            <color rgb="FF000000"/>
            <rFont val="Tahoma"/>
            <family val="2"/>
          </rPr>
          <t>en dessous</t>
        </r>
        <r>
          <rPr>
            <sz val="8"/>
            <color rgb="FF000000"/>
            <rFont val="Tahoma"/>
            <family val="2"/>
          </rPr>
          <t xml:space="preserve"> du changement de diamètre.
</t>
        </r>
        <r>
          <rPr>
            <i/>
            <sz val="8"/>
            <color rgb="FF000000"/>
            <rFont val="Tahoma"/>
            <family val="2"/>
          </rPr>
          <t>Lower Diameter (cf. blue schematic).</t>
        </r>
      </text>
    </comment>
    <comment ref="L9" authorId="0" shapeId="0" xr:uid="{B9E21278-845F-DB49-AFD0-8873114166F8}">
      <text>
        <r>
          <rPr>
            <sz val="8"/>
            <color rgb="FF000000"/>
            <rFont val="Tahoma"/>
            <family val="2"/>
          </rPr>
          <t xml:space="preserve">Distance entre la pointe de l'ogive et le haut du changement de diamètre.
</t>
        </r>
        <r>
          <rPr>
            <i/>
            <sz val="8"/>
            <color rgb="FF000000"/>
            <rFont val="Tahoma"/>
            <family val="2"/>
          </rPr>
          <t>Distance betwenn the tip of the nose cone and the top of the skirt/shrink.</t>
        </r>
      </text>
    </comment>
    <comment ref="B12" authorId="0" shapeId="0" xr:uid="{93B9D8F2-F1D4-754A-9B86-D9F96E761342}">
      <text>
        <r>
          <rPr>
            <sz val="8"/>
            <color indexed="8"/>
            <rFont val="Tahoma"/>
            <family val="2"/>
          </rPr>
          <t xml:space="preserve">Position du </t>
        </r>
        <r>
          <rPr>
            <b/>
            <sz val="8"/>
            <color indexed="8"/>
            <rFont val="Tahoma"/>
            <family val="2"/>
          </rPr>
          <t>Centre de Masse</t>
        </r>
        <r>
          <rPr>
            <sz val="8"/>
            <color indexed="8"/>
            <rFont val="Tahoma"/>
            <family val="2"/>
          </rPr>
          <t xml:space="preserve"> (CdG) par rapport à la pointe de l'ogive,
à mesurer ou estimer sur votre fusée.
</t>
        </r>
        <r>
          <rPr>
            <i/>
            <sz val="8"/>
            <color indexed="8"/>
            <rFont val="Tahoma"/>
            <family val="2"/>
          </rPr>
          <t>Position of Center of Mass (CoG) from the top of the nose cone.</t>
        </r>
      </text>
    </comment>
    <comment ref="S12" authorId="0" shapeId="0" xr:uid="{17012B0E-EF1A-9843-B1DF-359F94FF382D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haut</t>
        </r>
        <r>
          <rPr>
            <sz val="8"/>
            <color indexed="8"/>
            <rFont val="Tahoma"/>
            <family val="2"/>
          </rPr>
          <t xml:space="preserve"> du propulseur (hors ergot).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 xml:space="preserve">top </t>
        </r>
        <r>
          <rPr>
            <i/>
            <sz val="8"/>
            <color indexed="8"/>
            <rFont val="Tahoma"/>
            <family val="2"/>
          </rPr>
          <t>of the motor.</t>
        </r>
      </text>
    </comment>
    <comment ref="B13" authorId="0" shapeId="0" xr:uid="{4FA49E7D-56BC-9E43-806C-1BF8906AB4D4}">
      <text>
        <r>
          <rPr>
            <sz val="8"/>
            <color indexed="8"/>
            <rFont val="Tahoma"/>
            <family val="2"/>
          </rPr>
          <t xml:space="preserve">Longueur totale du fuselage avec l'ogive,
hors propu hors antenne hors ailerons.
</t>
        </r>
        <r>
          <rPr>
            <i/>
            <sz val="8"/>
            <color indexed="8"/>
            <rFont val="Tahoma"/>
            <family val="2"/>
          </rPr>
          <t>Total length of the body including nose cone.</t>
        </r>
      </text>
    </comment>
    <comment ref="L13" authorId="1" shapeId="0" xr:uid="{5F8F3942-F445-174F-8439-91838071B84C}">
      <text>
        <r>
          <rPr>
            <sz val="8"/>
            <color rgb="FF000000"/>
            <rFont val="Tahoma"/>
            <family val="2"/>
          </rPr>
          <t xml:space="preserve">Centre de Masse du propulseur par rapport au haut du propulseur.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Motor Center of Mass, mesured from top of motor.</t>
        </r>
      </text>
    </comment>
    <comment ref="B14" authorId="0" shapeId="0" xr:uid="{E33CA8B8-F7AC-FA44-ACFD-A3B88E56CBAD}">
      <text>
        <r>
          <rPr>
            <sz val="8"/>
            <color indexed="8"/>
            <rFont val="Tahoma"/>
            <family val="2"/>
          </rPr>
          <t xml:space="preserve">Diamètre de référence, utilisé pour calculer : Cnα, Finesse, Marge Statique.
Par défaut D_réf = D_ogive ; on peux écraser avec le diamètre "principal".
</t>
        </r>
        <r>
          <rPr>
            <i/>
            <sz val="8"/>
            <color indexed="8"/>
            <rFont val="Tahoma"/>
            <family val="2"/>
          </rPr>
          <t>Reference Diameter, used to compute: Cnα, Finesse, Static Margin.
By default D_ref = D_ogive ; one can overwrtie with the "main" diameter.</t>
        </r>
      </text>
    </comment>
    <comment ref="S14" authorId="0" shapeId="0" xr:uid="{9771AE04-BCAA-1843-84E4-3E93B936876B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L15" authorId="1" shapeId="0" xr:uid="{77FB2265-16FD-E24C-8FB2-555066695152}">
      <text>
        <r>
          <rPr>
            <sz val="8"/>
            <color indexed="8"/>
            <rFont val="Tahoma"/>
            <family val="2"/>
          </rPr>
          <t xml:space="preserve">Les positions des </t>
        </r>
        <r>
          <rPr>
            <sz val="8"/>
            <color indexed="12"/>
            <rFont val="Tahoma"/>
            <family val="2"/>
          </rPr>
          <t>Centres de Masse</t>
        </r>
        <r>
          <rPr>
            <sz val="8"/>
            <color indexed="8"/>
            <rFont val="Tahoma"/>
            <family val="2"/>
          </rPr>
          <t xml:space="preserve"> de la fusée avec propulseur plein et vide
sont représentées sur le schéma de la fusée par un </t>
        </r>
        <r>
          <rPr>
            <sz val="8"/>
            <color indexed="12"/>
            <rFont val="Tahoma"/>
            <family val="2"/>
          </rPr>
          <t>segment vertical bleu</t>
        </r>
        <r>
          <rPr>
            <sz val="8"/>
            <color indexed="8"/>
            <rFont val="Tahoma"/>
            <family val="2"/>
          </rPr>
          <t xml:space="preserve">.
</t>
        </r>
        <r>
          <rPr>
            <i/>
            <sz val="8"/>
            <color indexed="8"/>
            <rFont val="Tahoma"/>
            <family val="2"/>
          </rPr>
          <t xml:space="preserve">Rocket Center of Mass are shown whith a </t>
        </r>
        <r>
          <rPr>
            <i/>
            <sz val="8"/>
            <color indexed="12"/>
            <rFont val="Tahoma"/>
            <family val="2"/>
          </rPr>
          <t>blue segment</t>
        </r>
        <r>
          <rPr>
            <i/>
            <sz val="8"/>
            <color indexed="8"/>
            <rFont val="Tahoma"/>
            <family val="2"/>
          </rPr>
          <t xml:space="preserve"> in Rocket schematic.</t>
        </r>
      </text>
    </comment>
    <comment ref="S17" authorId="0" shapeId="0" xr:uid="{A3B3DE31-4F01-D643-9CA1-CB4088A4939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supérieur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upper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18" authorId="0" shapeId="0" xr:uid="{0F920BCD-C82D-954A-94F1-2361D22729B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S18" authorId="1" shapeId="0" xr:uid="{5F2A6216-87B8-0542-B5F8-A4032ADCA197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S19" authorId="0" shapeId="0" xr:uid="{8941FE23-B4BF-C949-9C68-31E6A55C4E9B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23" authorId="0" shapeId="0" xr:uid="{2D96FE34-E224-E445-81B5-AD90567BAB2C}">
      <text>
        <r>
          <rPr>
            <sz val="8"/>
            <color indexed="8"/>
            <rFont val="Tahoma"/>
            <family val="2"/>
          </rPr>
          <t xml:space="preserve">Diamètre à la base de l'ogive.
</t>
        </r>
        <r>
          <rPr>
            <i/>
            <sz val="8"/>
            <color indexed="8"/>
            <rFont val="Tahoma"/>
            <family val="2"/>
          </rPr>
          <t>Diameter at the basement of the nose cone.</t>
        </r>
      </text>
    </comment>
    <comment ref="E25" authorId="1" shapeId="0" xr:uid="{25D7A4C6-52B4-4442-9436-BD0007416A30}">
      <text>
        <r>
          <rPr>
            <sz val="8"/>
            <color rgb="FF000000"/>
            <rFont val="Tahoma"/>
            <family val="2"/>
          </rPr>
          <t xml:space="preserve">Les parties masquées des ailerons du bas sont représentées 
</t>
        </r>
        <r>
          <rPr>
            <sz val="8"/>
            <color rgb="FF000000"/>
            <rFont val="Tahoma"/>
            <family val="2"/>
          </rPr>
          <t xml:space="preserve">sur le schéma de la fusée par des </t>
        </r>
        <r>
          <rPr>
            <sz val="8"/>
            <color rgb="FFFF0000"/>
            <rFont val="Tahoma"/>
            <family val="2"/>
          </rPr>
          <t>zones en rouge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Ce sont les parties situées juste en dessous des ailerons du haut.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fin-fin interaction zone is located just below the upper fins,
</t>
        </r>
        <r>
          <rPr>
            <i/>
            <sz val="8"/>
            <color rgb="FF000000"/>
            <rFont val="Tahoma"/>
            <family val="2"/>
          </rPr>
          <t xml:space="preserve">shown in </t>
        </r>
        <r>
          <rPr>
            <i/>
            <sz val="8"/>
            <color rgb="FFFF0000"/>
            <rFont val="Tahoma"/>
            <family val="2"/>
          </rPr>
          <t>red</t>
        </r>
        <r>
          <rPr>
            <i/>
            <sz val="8"/>
            <color rgb="FF000000"/>
            <rFont val="Tahoma"/>
            <family val="2"/>
          </rPr>
          <t xml:space="preserve"> in the Rocket schematic.</t>
        </r>
      </text>
    </comment>
    <comment ref="B27" authorId="1" shapeId="0" xr:uid="{7A7DBE3F-C2FD-834A-8083-DB54344A9435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F27" authorId="0" shapeId="0" xr:uid="{96020000-14E1-FC4A-90AC-E9CB315AF809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Finesse</t>
        </r>
        <r>
          <rPr>
            <sz val="8"/>
            <color rgb="FF000000"/>
            <rFont val="Tahoma"/>
            <family val="2"/>
          </rPr>
          <t xml:space="preserve"> représente l'allongement de la fusée, rapport Longueur/Diamètre.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Finesse represents the relative length of the rocket. Finesse = L/D</t>
        </r>
      </text>
    </comment>
    <comment ref="B28" authorId="1" shapeId="0" xr:uid="{40659EAD-CC7E-5F49-830F-D98AC90E82BB}">
      <text>
        <r>
          <rPr>
            <sz val="8"/>
            <color indexed="8"/>
            <rFont val="Tahoma"/>
            <family val="2"/>
          </rPr>
          <t xml:space="preserve">Longueur du </t>
        </r>
        <r>
          <rPr>
            <b/>
            <sz val="8"/>
            <color indexed="8"/>
            <rFont val="Tahoma"/>
            <family val="2"/>
          </rPr>
          <t>saumo</t>
        </r>
        <r>
          <rPr>
            <b/>
            <u/>
            <sz val="8"/>
            <color indexed="8"/>
            <rFont val="Tahoma"/>
            <family val="2"/>
          </rPr>
          <t>n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Tip edge length of one fin.</t>
        </r>
      </text>
    </comment>
    <comment ref="F28" authorId="0" shapeId="0" xr:uid="{D8B8A397-00D3-5C49-A28E-C9173F1C4ADF}">
      <text>
        <r>
          <rPr>
            <sz val="8"/>
            <color rgb="FF000000"/>
            <rFont val="Tahoma"/>
            <family val="2"/>
          </rPr>
          <t xml:space="preserve">Le gradient de </t>
        </r>
        <r>
          <rPr>
            <b/>
            <sz val="8"/>
            <color rgb="FF800000"/>
            <rFont val="Tahoma"/>
            <family val="2"/>
          </rPr>
          <t>Portance</t>
        </r>
        <r>
          <rPr>
            <sz val="8"/>
            <color rgb="FF000000"/>
            <rFont val="Tahoma"/>
            <family val="2"/>
          </rPr>
          <t xml:space="preserve"> Cnα indique l'efficacité des ailerons.
</t>
        </r>
        <r>
          <rPr>
            <sz val="8"/>
            <color rgb="FF000000"/>
            <rFont val="Tahoma"/>
            <family val="2"/>
          </rPr>
          <t xml:space="preserve">Pour l'augmenter, il faut augmenter la taille des ailerons, et inversement.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800000"/>
            <rFont val="Tahoma"/>
            <family val="2"/>
          </rPr>
          <t>Lift</t>
        </r>
        <r>
          <rPr>
            <i/>
            <sz val="8"/>
            <color rgb="FF000000"/>
            <rFont val="Tahoma"/>
            <family val="2"/>
          </rPr>
          <t xml:space="preserve"> gradient, Cnα, represents the fins efficiency. 
</t>
        </r>
        <r>
          <rPr>
            <i/>
            <sz val="8"/>
            <color rgb="FF000000"/>
            <rFont val="Tahoma"/>
            <family val="2"/>
          </rPr>
          <t>To increase it, one must increase the size of the fins, and conversely.</t>
        </r>
      </text>
    </comment>
    <comment ref="B29" authorId="1" shapeId="0" xr:uid="{07155E5E-E112-FE41-A781-560BEF48D273}">
      <text>
        <r>
          <rPr>
            <b/>
            <sz val="8"/>
            <color indexed="8"/>
            <rFont val="Tahoma"/>
            <family val="2"/>
          </rPr>
          <t>Flèche</t>
        </r>
        <r>
          <rPr>
            <sz val="8"/>
            <color indexed="8"/>
            <rFont val="Tahoma"/>
            <family val="2"/>
          </rPr>
          <t xml:space="preserve"> du bord d'attaque (négatif si besoin).
</t>
        </r>
        <r>
          <rPr>
            <i/>
            <sz val="8"/>
            <color indexed="8"/>
            <rFont val="Tahoma"/>
            <family val="2"/>
          </rPr>
          <t>Offset of the Leading edge.</t>
        </r>
      </text>
    </comment>
    <comment ref="F29" authorId="0" shapeId="0" xr:uid="{2AA6E193-FECD-C543-9961-A945D610E218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Marge Statique</t>
        </r>
        <r>
          <rPr>
            <sz val="8"/>
            <color rgb="FF000000"/>
            <rFont val="Tahoma"/>
            <family val="2"/>
          </rPr>
          <t xml:space="preserve">, MS,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nombre de Diamètre de Référence, pour une fusée avec propulseur plein puis vide.
</t>
        </r>
        <r>
          <rPr>
            <sz val="8"/>
            <color rgb="FF000000"/>
            <rFont val="Tahoma"/>
            <family val="2"/>
          </rPr>
          <t xml:space="preserve">Pour augmenter la MS, il faut soit :
</t>
        </r>
        <r>
          <rPr>
            <sz val="8"/>
            <color rgb="FF000000"/>
            <rFont val="Tahoma"/>
            <family val="2"/>
          </rPr>
          <t xml:space="preserve">- abaisser le Centre de Portance (position des ailerons)
</t>
        </r>
        <r>
          <rPr>
            <sz val="8"/>
            <color rgb="FF000000"/>
            <rFont val="Tahoma"/>
            <family val="2"/>
          </rPr>
          <t xml:space="preserve">- rehausser le Centre de Masse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Static Margin, MS,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 xml:space="preserve">measured in number of reference diameter, for a rocket with loaded motor, then empty motor.
</t>
        </r>
        <r>
          <rPr>
            <i/>
            <sz val="8"/>
            <color rgb="FF000000"/>
            <rFont val="Tahoma"/>
            <family val="2"/>
          </rPr>
          <t xml:space="preserve">In order to increase MS, one must either:
</t>
        </r>
        <r>
          <rPr>
            <i/>
            <sz val="8"/>
            <color rgb="FF000000"/>
            <rFont val="Tahoma"/>
            <family val="2"/>
          </rPr>
          <t xml:space="preserve">- lower the Center of Pressure (position of fins)
</t>
        </r>
        <r>
          <rPr>
            <i/>
            <sz val="8"/>
            <color rgb="FF000000"/>
            <rFont val="Tahoma"/>
            <family val="2"/>
          </rPr>
          <t>- Move up the Center of Mass</t>
        </r>
      </text>
    </comment>
    <comment ref="B30" authorId="1" shapeId="0" xr:uid="{690D3A76-7707-E745-86AD-9ABB7229996E}">
      <text>
        <r>
          <rPr>
            <b/>
            <u/>
            <sz val="8"/>
            <color indexed="8"/>
            <rFont val="Tahoma"/>
            <family val="2"/>
          </rPr>
          <t>E</t>
        </r>
        <r>
          <rPr>
            <b/>
            <sz val="8"/>
            <color indexed="8"/>
            <rFont val="Tahoma"/>
            <family val="2"/>
          </rPr>
          <t>nvergure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Span of one fin.</t>
        </r>
      </text>
    </comment>
    <comment ref="F30" authorId="0" shapeId="0" xr:uid="{DB3E3AE2-0048-2A40-940A-E6C95A7BAC76}">
      <text>
        <r>
          <rPr>
            <sz val="8"/>
            <color rgb="FF000000"/>
            <rFont val="Tahoma"/>
            <family val="2"/>
          </rPr>
          <t xml:space="preserve">Le </t>
        </r>
        <r>
          <rPr>
            <b/>
            <sz val="8"/>
            <color rgb="FF000000"/>
            <rFont val="Tahoma"/>
            <family val="2"/>
          </rPr>
          <t>produit</t>
        </r>
        <r>
          <rPr>
            <sz val="8"/>
            <color rgb="FF000000"/>
            <rFont val="Tahoma"/>
            <family val="2"/>
          </rPr>
          <t xml:space="preserve"> MS*Cnα représente le </t>
        </r>
        <r>
          <rPr>
            <b/>
            <sz val="8"/>
            <color rgb="FF000000"/>
            <rFont val="Tahoma"/>
            <family val="2"/>
          </rPr>
          <t>couple</t>
        </r>
        <r>
          <rPr>
            <sz val="8"/>
            <color rgb="FF000000"/>
            <rFont val="Tahoma"/>
            <family val="2"/>
          </rPr>
          <t xml:space="preserve"> de rappel de la Portance.
</t>
        </r>
        <r>
          <rPr>
            <sz val="8"/>
            <color rgb="FF000000"/>
            <rFont val="Tahoma"/>
            <family val="2"/>
          </rPr>
          <t xml:space="preserve">Pour augmenter le produit, il faut augmenter la MS et/ou le Cnα, et inversement.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product MS*Cnα represents the lift torque.
</t>
        </r>
        <r>
          <rPr>
            <i/>
            <sz val="8"/>
            <color rgb="FF000000"/>
            <rFont val="Tahoma"/>
            <family val="2"/>
          </rPr>
          <t>To increase it, one must increase the Static Margin and/or the Cnα, and conversely.</t>
        </r>
      </text>
    </comment>
    <comment ref="F31" authorId="0" shapeId="0" xr:uid="{2060A76E-40C6-4B44-BD75-3384A5CAABE3}">
      <text>
        <r>
          <rPr>
            <sz val="8"/>
            <color indexed="8"/>
            <rFont val="Tahoma"/>
            <family val="2"/>
          </rPr>
          <t xml:space="preserve">Le Xcp est la </t>
        </r>
        <r>
          <rPr>
            <b/>
            <sz val="8"/>
            <color indexed="16"/>
            <rFont val="Tahoma"/>
            <family val="2"/>
          </rPr>
          <t>position du Centre de Poussée Aérodynamique</t>
        </r>
        <r>
          <rPr>
            <sz val="8"/>
            <color indexed="8"/>
            <rFont val="Tahoma"/>
            <family val="2"/>
          </rPr>
          <t xml:space="preserve"> (CPA), 
aussi appelé Centre de Pression (CP), Centre Latéral de Poussée (CLP), 
ou Foyer, exprimée par rapport à la pointe de l'ogive.
</t>
        </r>
        <r>
          <rPr>
            <i/>
            <sz val="8"/>
            <color indexed="8"/>
            <rFont val="Tahoma"/>
            <family val="2"/>
          </rPr>
          <t>Xcp is the location of the Aerodynamics Center of Pressure, 
measured from the tip of the nose cone.</t>
        </r>
      </text>
    </comment>
    <comment ref="F32" authorId="2" shapeId="0" xr:uid="{A13EDA9E-DFC5-6342-82F7-D970832138FC}">
      <text>
        <r>
          <rPr>
            <sz val="8"/>
            <color rgb="FF000000"/>
            <rFont val="Tahoma"/>
            <family val="2"/>
          </rPr>
          <t xml:space="preserve">Cette Marge Statique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</t>
        </r>
        <r>
          <rPr>
            <b/>
            <sz val="8"/>
            <color rgb="FF000000"/>
            <rFont val="Tahoma"/>
            <family val="2"/>
          </rPr>
          <t>% de la Longueur</t>
        </r>
        <r>
          <rPr>
            <sz val="8"/>
            <color rgb="FF000000"/>
            <rFont val="Tahoma"/>
            <family val="2"/>
          </rPr>
          <t xml:space="preserve"> de la fusée, pour une fusée avec propulseur plein puis vide.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This Static Margin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>measured in % of rocket length, for a rocket with loaded motor, then empty motor.</t>
        </r>
      </text>
    </comment>
    <comment ref="B33" authorId="0" shapeId="0" xr:uid="{1D42BD02-8CA3-D84F-A862-FC9D20D1F4BA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34" authorId="0" shapeId="0" xr:uid="{A62E82D4-433C-F54F-9A80-65075C3AAD7D}">
      <text>
        <r>
          <rPr>
            <sz val="8"/>
            <color indexed="8"/>
            <rFont val="Tahoma"/>
            <family val="2"/>
          </rPr>
          <t xml:space="preserve">Diamètre du fuselage au niveau des ailerons.
</t>
        </r>
        <r>
          <rPr>
            <i/>
            <sz val="8"/>
            <color indexed="8"/>
            <rFont val="Tahoma"/>
            <family val="2"/>
          </rPr>
          <t>Diameter of the body at the level of the fins.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Léo Côme</author>
    <author>Léo</author>
    <author>Sylvain Besson</author>
    <author>collectif</author>
  </authors>
  <commentList>
    <comment ref="B10" authorId="0" shapeId="0" xr:uid="{15384CFA-AE50-EC45-8956-D4F4E799CB4F}">
      <text>
        <r>
          <rPr>
            <sz val="8"/>
            <color indexed="8"/>
            <rFont val="Tahoma"/>
            <family val="2"/>
          </rPr>
          <t xml:space="preserve">Masse au décollage,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Lift-Off mass, to be changed in Stabilito sheet,
or with the buttons (then recheck stability).</t>
        </r>
      </text>
    </comment>
    <comment ref="B11" authorId="0" shapeId="0" xr:uid="{7793ACB5-563F-C14C-AE40-D36012718F07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4" authorId="1" shapeId="0" xr:uid="{45581668-9BF5-8147-A37D-825CBA28CDD3}">
      <text>
        <r>
          <rPr>
            <sz val="8"/>
            <color indexed="8"/>
            <rFont val="Tahoma"/>
            <family val="2"/>
          </rPr>
          <t xml:space="preserve">La Surface de Référence utilisée pour le calcul de la Traînée est la surface projetée dans l'axe de la fusée. Ce </t>
        </r>
        <r>
          <rPr>
            <b/>
            <sz val="8"/>
            <color indexed="8"/>
            <rFont val="Tahoma"/>
            <family val="2"/>
          </rPr>
          <t>Maître Couple</t>
        </r>
        <r>
          <rPr>
            <sz val="8"/>
            <color indexed="8"/>
            <rFont val="Tahoma"/>
            <family val="2"/>
          </rPr>
          <t xml:space="preserve"> inclut donc l'épaisseur des ailerons.
</t>
        </r>
        <r>
          <rPr>
            <i/>
            <sz val="8"/>
            <color indexed="8"/>
            <rFont val="Tahoma"/>
            <family val="2"/>
          </rPr>
          <t>Reference Surface used to compute the Drag. It includes Fin thickness.</t>
        </r>
      </text>
    </comment>
    <comment ref="B15" authorId="1" shapeId="0" xr:uid="{40FABB24-6C4E-264B-A224-46A34B8EBB76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  <comment ref="B18" authorId="1" shapeId="0" xr:uid="{F6F856DB-B077-E540-8D7B-892EB7794A98}">
      <text>
        <r>
          <rPr>
            <b/>
            <sz val="8"/>
            <color indexed="8"/>
            <rFont val="Tahoma"/>
            <family val="2"/>
          </rPr>
          <t>Longueur de la rampe de lancement.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i/>
            <sz val="8"/>
            <color indexed="8"/>
            <rFont val="Tahoma"/>
            <family val="2"/>
          </rPr>
          <t xml:space="preserve">                                          Length of the launch pad.</t>
        </r>
        <r>
          <rPr>
            <sz val="8"/>
            <color indexed="8"/>
            <rFont val="Tahoma"/>
            <family val="2"/>
          </rPr>
          <t xml:space="preserve">
Valeurs courantes :                  </t>
        </r>
        <r>
          <rPr>
            <i/>
            <sz val="8"/>
            <color indexed="8"/>
            <rFont val="Tahoma"/>
            <family val="2"/>
          </rPr>
          <t>Average values :</t>
        </r>
        <r>
          <rPr>
            <sz val="8"/>
            <color indexed="8"/>
            <rFont val="Tahoma"/>
            <family val="2"/>
          </rPr>
          <t xml:space="preserve">
MicroFusée                  : 1m  :    </t>
        </r>
        <r>
          <rPr>
            <i/>
            <sz val="8"/>
            <color indexed="8"/>
            <rFont val="Tahoma"/>
            <family val="2"/>
          </rPr>
          <t>Micro-rocket</t>
        </r>
        <r>
          <rPr>
            <sz val="8"/>
            <color indexed="8"/>
            <rFont val="Tahoma"/>
            <family val="2"/>
          </rPr>
          <t xml:space="preserve">
MiniFusée                    : 2m5:   </t>
        </r>
        <r>
          <rPr>
            <i/>
            <sz val="8"/>
            <color indexed="8"/>
            <rFont val="Tahoma"/>
            <family val="2"/>
          </rPr>
          <t xml:space="preserve"> Mini-rocket
Rocketry Challenge    </t>
        </r>
        <r>
          <rPr>
            <sz val="8"/>
            <color indexed="8"/>
            <rFont val="Tahoma"/>
            <family val="2"/>
          </rPr>
          <t xml:space="preserve">: 3m
Fusée Expérimentale  : 4m  :   </t>
        </r>
        <r>
          <rPr>
            <i/>
            <sz val="8"/>
            <color indexed="8"/>
            <rFont val="Tahoma"/>
            <family val="2"/>
          </rPr>
          <t>Experimental Rocket</t>
        </r>
      </text>
    </comment>
    <comment ref="B19" authorId="1" shapeId="0" xr:uid="{410EB2A1-05D7-0C44-A8E3-5AD1648CAEAD}">
      <text>
        <r>
          <rPr>
            <sz val="8"/>
            <color indexed="8"/>
            <rFont val="Tahoma"/>
            <family val="2"/>
          </rPr>
          <t xml:space="preserve">Elévation de la rampe, angle par rapport à l'horizontale, "site" de la rampe, par défaut cet angle est à 80°.
</t>
        </r>
        <r>
          <rPr>
            <i/>
            <sz val="8"/>
            <color indexed="8"/>
            <rFont val="Tahoma"/>
            <family val="2"/>
          </rPr>
          <t>Angle of the lauch pad versus horizontal.</t>
        </r>
      </text>
    </comment>
    <comment ref="B20" authorId="1" shapeId="0" xr:uid="{CACCC701-E118-1344-8D11-6F899D4B1E33}">
      <text>
        <r>
          <rPr>
            <sz val="8"/>
            <color indexed="8"/>
            <rFont val="Tahoma"/>
            <family val="2"/>
          </rPr>
          <t xml:space="preserve">L'Altitude de la rampe est utilisée pour calculer la densité de l'air.
</t>
        </r>
        <r>
          <rPr>
            <i/>
            <sz val="8"/>
            <color indexed="8"/>
            <rFont val="Tahoma"/>
            <family val="2"/>
          </rPr>
          <t>Launch Pad Altitude is used to compute the air density.</t>
        </r>
      </text>
    </comment>
    <comment ref="D23" authorId="2" shapeId="0" xr:uid="{B18CBBCB-629E-3D4F-81A4-B315A4BC536B}">
      <text>
        <r>
          <rPr>
            <b/>
            <sz val="8"/>
            <color indexed="8"/>
            <rFont val="Tahoma"/>
            <family val="2"/>
          </rPr>
          <t>Objet largué</t>
        </r>
        <r>
          <rPr>
            <sz val="8"/>
            <color indexed="8"/>
            <rFont val="Tahoma"/>
            <family val="2"/>
          </rPr>
          <t xml:space="preserve"> (CanSat, quasi-satellite, partie contenant l'œuf...)
</t>
        </r>
        <r>
          <rPr>
            <i/>
            <sz val="8"/>
            <color indexed="8"/>
            <rFont val="Tahoma"/>
            <family val="2"/>
          </rPr>
          <t>Separated object (CanSat, quasi-satellite, payload/egg...)</t>
        </r>
      </text>
    </comment>
    <comment ref="K23" authorId="1" shapeId="0" xr:uid="{5D3388C4-0B4A-304D-916C-2A9A38115A36}">
      <text>
        <r>
          <rPr>
            <sz val="8"/>
            <color rgb="FF000000"/>
            <rFont val="Tahoma"/>
            <family val="2"/>
          </rPr>
          <t xml:space="preserve">La Vitesse en Sortie de Rampe doit être supérieure à 18m/s (MiniFusée) ou 20m/s (Fusée Exp.).
</t>
        </r>
        <r>
          <rPr>
            <sz val="8"/>
            <color rgb="FF000000"/>
            <rFont val="Tahoma"/>
            <family val="2"/>
          </rPr>
          <t xml:space="preserve">Alléger la fusée ou choisir un propu plus puissant.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Speed at Launch Pad Exit must by higher than 18m/s (mini-rocket) or 20m/s (experimental rocket).
</t>
        </r>
        <r>
          <rPr>
            <i/>
            <sz val="8"/>
            <color rgb="FF000000"/>
            <rFont val="Tahoma"/>
            <family val="2"/>
          </rPr>
          <t>Lighten the rocket or choose a bigger motor.</t>
        </r>
      </text>
    </comment>
    <comment ref="C24" authorId="2" shapeId="0" xr:uid="{83A39B17-3C6C-F54C-B142-67AFDE99C6BD}">
      <text>
        <r>
          <rPr>
            <sz val="8"/>
            <color indexed="8"/>
            <rFont val="Tahoma"/>
            <family val="2"/>
          </rPr>
          <t xml:space="preserve">Masse de la fusée (sans satellite) sous parachute.
</t>
        </r>
        <r>
          <rPr>
            <i/>
            <sz val="8"/>
            <color indexed="8"/>
            <rFont val="Tahoma"/>
            <family val="2"/>
          </rPr>
          <t>Mass of the rocket (w/o sat) when it fall with a parachute.</t>
        </r>
      </text>
    </comment>
    <comment ref="M27" authorId="3" shapeId="0" xr:uid="{F98FD256-335A-884D-892A-C0FC5DB698E0}">
      <text>
        <r>
          <rPr>
            <sz val="8"/>
            <color indexed="81"/>
            <rFont val="Tahoma"/>
            <family val="2"/>
          </rPr>
          <t xml:space="preserve">Efforts sur les fixations du parachute lors de sont ouverture.
</t>
        </r>
        <r>
          <rPr>
            <i/>
            <sz val="8"/>
            <color indexed="81"/>
            <rFont val="Tahoma"/>
            <family val="2"/>
          </rPr>
          <t>Stress on the parachute's bindings when it opened.</t>
        </r>
      </text>
    </comment>
    <comment ref="B28" authorId="1" shapeId="0" xr:uid="{DA1E166D-9ACD-E643-BBB1-901B2DECE888}">
      <text>
        <r>
          <rPr>
            <sz val="8"/>
            <color indexed="8"/>
            <rFont val="Tahoma"/>
            <family val="2"/>
          </rPr>
          <t xml:space="preserve">Le Coefficient de Traînée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(ou Cd) d'un parachute est généralement compris entre 0.7 et 1.4 (1 par défaut).
</t>
        </r>
        <r>
          <rPr>
            <i/>
            <sz val="8"/>
            <color indexed="8"/>
            <rFont val="Tahoma"/>
            <family val="2"/>
          </rPr>
          <t xml:space="preserve">Parachute Drag Coefficient </t>
        </r>
        <r>
          <rPr>
            <b/>
            <i/>
            <sz val="8"/>
            <color indexed="8"/>
            <rFont val="Tahoma"/>
            <family val="2"/>
          </rPr>
          <t>Cx</t>
        </r>
        <r>
          <rPr>
            <i/>
            <sz val="8"/>
            <color indexed="8"/>
            <rFont val="Tahoma"/>
            <family val="2"/>
          </rPr>
          <t xml:space="preserve"> (or Cd) should be between 0.7 and 1.4, with a default value of 1.</t>
        </r>
      </text>
    </comment>
    <comment ref="M28" authorId="3" shapeId="0" xr:uid="{958539F3-7D38-6E4B-BF35-69D4D724398E}">
      <text>
        <r>
          <rPr>
            <sz val="8"/>
            <color indexed="81"/>
            <rFont val="Tahoma"/>
            <family val="2"/>
          </rPr>
          <t>Energie libérée lors de l'impact balistique.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Balistic impact energy</t>
        </r>
      </text>
    </comment>
    <comment ref="B30" authorId="4" shapeId="0" xr:uid="{14989AF1-08E3-8F4C-A76E-1CA69A50E176}">
      <text>
        <r>
          <rPr>
            <sz val="8"/>
            <color rgb="FF000000"/>
            <rFont val="Tahoma"/>
            <family val="2"/>
          </rPr>
          <t xml:space="preserve">La Vitesse de descente sous parachute doit être comprise entre 5 &amp; 15m/s.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Fall Velocity with parachute must be between 5 &amp; 15 m/s.</t>
        </r>
      </text>
    </comment>
    <comment ref="B33" authorId="0" shapeId="0" xr:uid="{99C5B9B1-DACD-4949-8E82-0494050894FB}">
      <text>
        <r>
          <rPr>
            <sz val="8"/>
            <color indexed="8"/>
            <rFont val="Tahoma"/>
            <family val="2"/>
          </rPr>
          <t xml:space="preserve">Déviation due au vent lors de la descente sous parachute.
</t>
        </r>
        <r>
          <rPr>
            <i/>
            <sz val="8"/>
            <color indexed="8"/>
            <rFont val="Tahoma"/>
            <family val="2"/>
          </rPr>
          <t>Deviation due to wind during the fall over parachute.</t>
        </r>
      </text>
    </comment>
    <comment ref="F40" authorId="1" shapeId="0" xr:uid="{4C5983D3-8ABD-124E-915B-4E877960845F}">
      <text>
        <r>
          <rPr>
            <sz val="8"/>
            <color indexed="8"/>
            <rFont val="Tahoma"/>
            <family val="2"/>
          </rPr>
          <t xml:space="preserve">Les Conditions Initiales permettent de simuler le 2e boost des fusée bi-étage ou des fusées larguant une masse (CanSat, bi-inerte). Laisser à 0 dans les autres cas.
</t>
        </r>
        <r>
          <rPr>
            <i/>
            <sz val="8"/>
            <color indexed="8"/>
            <rFont val="Tahoma"/>
            <family val="2"/>
          </rPr>
          <t>Initial Conditions can be used to simulate the 2nd boost of 2-stages rockets, or rocket releasing mass (Quasi-Satellites). Set them to 0 otherwise.</t>
        </r>
      </text>
    </comment>
    <comment ref="I40" authorId="1" shapeId="0" xr:uid="{01589978-EDDE-3741-BF57-74E8E94DE07A}">
      <text>
        <r>
          <rPr>
            <sz val="8"/>
            <color indexed="8"/>
            <rFont val="Tahoma"/>
            <family val="2"/>
          </rPr>
          <t xml:space="preserve">Altitude par rapport à la rampe, par rapport au sol.
</t>
        </r>
        <r>
          <rPr>
            <i/>
            <sz val="8"/>
            <color indexed="8"/>
            <rFont val="Tahoma"/>
            <family val="2"/>
          </rPr>
          <t>Altitude with respect to the earth surface.</t>
        </r>
      </text>
    </comment>
    <comment ref="K40" authorId="1" shapeId="0" xr:uid="{7D4F787C-8E9D-AD4B-B98C-DFC41DE06DE4}">
      <text>
        <r>
          <rPr>
            <sz val="8"/>
            <color indexed="8"/>
            <rFont val="Tahoma"/>
            <family val="2"/>
          </rPr>
          <t xml:space="preserve">La vitesse initiale doit être non-nulle dans le cas d'un 2e boost (allumage hors de la rampe, Portée et Altitude non-nulles).
</t>
        </r>
        <r>
          <rPr>
            <i/>
            <sz val="8"/>
            <color indexed="8"/>
            <rFont val="Tahoma"/>
            <family val="2"/>
          </rPr>
          <t>Initial Velocity must be non-zero in case of 2nd boost (ignition without launch pad, non-zero Range and Altitude).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M363040</author>
    <author>Léo Côme</author>
  </authors>
  <commentList>
    <comment ref="B10" authorId="0" shapeId="0" xr:uid="{DECAEDCA-6867-B442-8EF7-18D10A7D4512}">
      <text>
        <r>
          <rPr>
            <sz val="8"/>
            <color indexed="8"/>
            <rFont val="Tahoma"/>
            <family val="2"/>
          </rPr>
          <t xml:space="preserve">Masse sans propu,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Rocket mass without motor, to be changed in Stabilito sheet,
or with the buttons (then recheck stability).</t>
        </r>
      </text>
    </comment>
    <comment ref="B11" authorId="0" shapeId="0" xr:uid="{6DE15895-CF3A-B04B-9924-780E2F0470E3}">
      <text>
        <r>
          <rPr>
            <sz val="8"/>
            <color indexed="8"/>
            <rFont val="Tahoma"/>
            <family val="2"/>
          </rPr>
          <t>Masse totale, à changer dans la feuille Stabilito,
ou à l'aide des boutons (revérifiez alors la stabilité).
Rocket total mass, to be changed in Stabilito sheet,
or with the buttons (then recheck stability).</t>
        </r>
      </text>
    </comment>
    <comment ref="B12" authorId="0" shapeId="0" xr:uid="{FC517C5B-575E-C442-96EF-03A0E0636F81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5" authorId="1" shapeId="0" xr:uid="{17E33935-8B9F-6541-A3BE-C2438CE92052}">
      <text>
        <r>
          <rPr>
            <sz val="8"/>
            <color indexed="8"/>
            <rFont val="Tahoma"/>
            <family val="2"/>
          </rPr>
          <t xml:space="preserve">Diamètre de référence. D_réf = D_ogive ou le diamètre "principal".
</t>
        </r>
        <r>
          <rPr>
            <i/>
            <sz val="8"/>
            <color indexed="8"/>
            <rFont val="Tahoma"/>
            <family val="2"/>
          </rPr>
          <t>Reference Diameter. D_ref = D_ogive or the "main" diameter.</t>
        </r>
      </text>
    </comment>
    <comment ref="B16" authorId="2" shapeId="0" xr:uid="{E172DD01-C068-EB46-9363-E08B5F91D3F8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Léo</author>
  </authors>
  <commentList>
    <comment ref="E52" authorId="0" shapeId="0" xr:uid="{F64DC3FF-91A3-DF48-911C-0D7848EFC6BB}">
      <text>
        <r>
          <rPr>
            <sz val="8"/>
            <color indexed="81"/>
            <rFont val="Tahoma"/>
            <family val="2"/>
          </rPr>
          <t xml:space="preserve">Masse volumique de l'air (ρ) à P=1013,25hPa &amp; T=15°C.
Utilisée tel quel pour la descente sous parachute,
utilisée comme référence (z=0) pour le calcul de ρ en fonction de l'altitude dans le calcul de la trajectoire pas à pas.
Idéalement, valeur à adapter aux conditions atmosphériques au moment du lancement.
</t>
        </r>
        <r>
          <rPr>
            <i/>
            <sz val="8"/>
            <color indexed="81"/>
            <rFont val="Tahoma"/>
            <family val="2"/>
          </rPr>
          <t>Air density (ρ) at P=1013,25hPa &amp; T=15°C.</t>
        </r>
      </text>
    </comment>
  </commentList>
</comments>
</file>

<file path=xl/sharedStrings.xml><?xml version="1.0" encoding="utf-8"?>
<sst xmlns="http://schemas.openxmlformats.org/spreadsheetml/2006/main" count="1674" uniqueCount="556">
  <si>
    <t>TRAJECTO</t>
  </si>
  <si>
    <t>Français</t>
  </si>
  <si>
    <t>t</t>
  </si>
  <si>
    <t>x</t>
  </si>
  <si>
    <t>Club</t>
  </si>
  <si>
    <t>Cx</t>
  </si>
  <si>
    <t>Altitude</t>
  </si>
  <si>
    <t>m/s²</t>
  </si>
  <si>
    <t>kg/m3</t>
  </si>
  <si>
    <t>Surface para</t>
  </si>
  <si>
    <t>Cx parachute</t>
  </si>
  <si>
    <t>Temps</t>
  </si>
  <si>
    <t>Altitude z</t>
  </si>
  <si>
    <t>Accélération</t>
  </si>
  <si>
    <t>-</t>
  </si>
  <si>
    <t>Culmination, Apogée</t>
  </si>
  <si>
    <t>~0</t>
  </si>
  <si>
    <t>Forces</t>
  </si>
  <si>
    <t>Accélération longitudinale</t>
  </si>
  <si>
    <t>pas</t>
  </si>
  <si>
    <t>Beta</t>
  </si>
  <si>
    <t>BetaD</t>
  </si>
  <si>
    <t>Débit</t>
  </si>
  <si>
    <t>Trainée</t>
  </si>
  <si>
    <t>Rho</t>
  </si>
  <si>
    <t>Poussée</t>
  </si>
  <si>
    <t>i_P</t>
  </si>
  <si>
    <t>Poids</t>
  </si>
  <si>
    <t>R_rampe</t>
  </si>
  <si>
    <t>z</t>
  </si>
  <si>
    <t>non-gravit.</t>
  </si>
  <si>
    <t>gravitationnelle</t>
  </si>
  <si>
    <t>Ligne</t>
  </si>
  <si>
    <t>Temps (en s)</t>
  </si>
  <si>
    <t>Poussée (en N)</t>
  </si>
  <si>
    <t>Isard</t>
  </si>
  <si>
    <t>Chamois</t>
  </si>
  <si>
    <t>Pro75-2G</t>
  </si>
  <si>
    <t>espace@planete-sciences.org</t>
  </si>
  <si>
    <t>m</t>
  </si>
  <si>
    <t>http://www.planete-sciences.org/espace/basedoc/</t>
  </si>
  <si>
    <t>Surface Réf.</t>
  </si>
  <si>
    <t>Angle</t>
  </si>
  <si>
    <t>Léo Côme</t>
  </si>
  <si>
    <t>Notes :</t>
  </si>
  <si>
    <t>Barasinga (Pro54-5G)</t>
  </si>
  <si>
    <t>Orignal (Pro75-3G)</t>
  </si>
  <si>
    <t>Aucun (2e ét. inerte)</t>
  </si>
  <si>
    <t>z para</t>
  </si>
  <si>
    <t>z sat</t>
  </si>
  <si>
    <t>xz max</t>
  </si>
  <si>
    <t>t para</t>
  </si>
  <si>
    <t>x para</t>
  </si>
  <si>
    <t>t sat</t>
  </si>
  <si>
    <t>x sat</t>
  </si>
  <si>
    <t>Moteurs Rocketry-Challenge, bug Surface_parachute, Satellite, bug Ooo</t>
  </si>
  <si>
    <t>STABILITO</t>
  </si>
  <si>
    <t>Type</t>
  </si>
  <si>
    <t>XCp</t>
  </si>
  <si>
    <t>MpropuPlein</t>
  </si>
  <si>
    <t>XpropuPlein</t>
  </si>
  <si>
    <t>MpropuVide</t>
  </si>
  <si>
    <t>XpropuVide</t>
  </si>
  <si>
    <t>Longueur</t>
  </si>
  <si>
    <t>Diamètre</t>
  </si>
  <si>
    <t>Min</t>
  </si>
  <si>
    <t>Max</t>
  </si>
  <si>
    <t>Finesse</t>
  </si>
  <si>
    <t>Cnα</t>
  </si>
  <si>
    <t>MS /L</t>
  </si>
  <si>
    <t>English</t>
  </si>
  <si>
    <t>X longi</t>
  </si>
  <si>
    <t>Y latéral</t>
  </si>
  <si>
    <t>- Y latéral</t>
  </si>
  <si>
    <t>Pointe</t>
  </si>
  <si>
    <t>Ogive</t>
  </si>
  <si>
    <t>chmt1 pt1</t>
  </si>
  <si>
    <t>chmt1 pt2</t>
  </si>
  <si>
    <t>chmt2 pt1</t>
  </si>
  <si>
    <t>chmt2 pt2</t>
  </si>
  <si>
    <t>culot</t>
  </si>
  <si>
    <t>aileron pt1</t>
  </si>
  <si>
    <t>aileron pt2</t>
  </si>
  <si>
    <t>aileron pt3</t>
  </si>
  <si>
    <t>aileron pt4</t>
  </si>
  <si>
    <t>Xcg plein</t>
  </si>
  <si>
    <t>Xcg vide</t>
  </si>
  <si>
    <t>Xcp</t>
  </si>
  <si>
    <t>canard pt1</t>
  </si>
  <si>
    <t>canard pt2</t>
  </si>
  <si>
    <t>canard pt3</t>
  </si>
  <si>
    <t>canard pt4</t>
  </si>
  <si>
    <t>masquage pt1</t>
  </si>
  <si>
    <t>masquage pt2</t>
  </si>
  <si>
    <t>masquage pt3</t>
  </si>
  <si>
    <t>masquage pt4</t>
  </si>
  <si>
    <t>cadre</t>
  </si>
  <si>
    <t>propu pt1</t>
  </si>
  <si>
    <t>propu pt2</t>
  </si>
  <si>
    <t>propu pt3</t>
  </si>
  <si>
    <t>propu pt4</t>
  </si>
  <si>
    <t>propu pt5</t>
  </si>
  <si>
    <t>MS (X)</t>
  </si>
  <si>
    <t>Cna (Y)</t>
  </si>
  <si>
    <t>2002-2007</t>
  </si>
  <si>
    <t>Stabilito V1.x</t>
  </si>
  <si>
    <t>Stabilito V2.0</t>
  </si>
  <si>
    <t>Stabilito V2.1</t>
  </si>
  <si>
    <t>Stabilito V2.2</t>
  </si>
  <si>
    <t>Trajecto V1.x</t>
  </si>
  <si>
    <t>Trajecto V2.x</t>
  </si>
  <si>
    <t>Trajecto V2.4</t>
  </si>
  <si>
    <t>Trajecto V2.5</t>
  </si>
  <si>
    <t>OpenOffice Calc</t>
  </si>
  <si>
    <t>µ-propu A8-3</t>
  </si>
  <si>
    <t>µ-propu B4-4</t>
  </si>
  <si>
    <t>µ-propu C6-3</t>
  </si>
  <si>
    <t>ISP</t>
  </si>
  <si>
    <t>I_total</t>
  </si>
  <si>
    <t>I_total_i (en N.s)</t>
  </si>
  <si>
    <t>Micro</t>
  </si>
  <si>
    <t>Fusex</t>
  </si>
  <si>
    <t>Mini</t>
  </si>
  <si>
    <t>0 satellite</t>
  </si>
  <si>
    <t>1 satellite</t>
  </si>
  <si>
    <t>http://creativecommons.org/licenses/by-sa/3.0/</t>
  </si>
  <si>
    <t>VL4</t>
  </si>
  <si>
    <t>Vsortie de rampe (&gt; 18 m/s)</t>
  </si>
  <si>
    <t>10 &lt; finesse &lt; 20</t>
  </si>
  <si>
    <t>15 &lt; Cn &lt; 30</t>
  </si>
  <si>
    <t>30 &lt; Ms x Cn &lt; 100</t>
  </si>
  <si>
    <t>RC1</t>
  </si>
  <si>
    <t>5 &lt; Vc &lt; 15 m/s</t>
  </si>
  <si>
    <t>RC2</t>
  </si>
  <si>
    <t>Temps de retard ralentisseur</t>
  </si>
  <si>
    <t>RC5</t>
  </si>
  <si>
    <t>Portée balistique (m)</t>
  </si>
  <si>
    <t>Temps de vol avec parachute (s)</t>
  </si>
  <si>
    <t>Culmination</t>
  </si>
  <si>
    <t>Accélération max (m/s²)</t>
  </si>
  <si>
    <t>Vmax (m/s)</t>
  </si>
  <si>
    <t>Altitude (m)</t>
  </si>
  <si>
    <t>Temps (s)</t>
  </si>
  <si>
    <t>Vitesse (m/s)</t>
  </si>
  <si>
    <t>Inclinaison</t>
  </si>
  <si>
    <t>Longueur totale</t>
  </si>
  <si>
    <t>Longueur rampe</t>
  </si>
  <si>
    <t>Epaisseur ailerons</t>
  </si>
  <si>
    <t>Nombre ailerons</t>
  </si>
  <si>
    <t>Type d'ogive</t>
  </si>
  <si>
    <t>Longueur ogive "l"</t>
  </si>
  <si>
    <t>Haut du propu "Prop"</t>
  </si>
  <si>
    <t>Diamètre "D"</t>
  </si>
  <si>
    <t>Position ailerons "L"</t>
  </si>
  <si>
    <t>M</t>
  </si>
  <si>
    <t>Microsoft Excel 2003 ou +</t>
  </si>
  <si>
    <t>s</t>
  </si>
  <si>
    <t>m/s</t>
  </si>
  <si>
    <t>°</t>
  </si>
  <si>
    <t>Transition A</t>
  </si>
  <si>
    <t>Transition B</t>
  </si>
  <si>
    <t>Jaune</t>
  </si>
  <si>
    <t>conique</t>
  </si>
  <si>
    <t>ogive</t>
  </si>
  <si>
    <t>parabole</t>
  </si>
  <si>
    <t>env pt4</t>
  </si>
  <si>
    <t>flèche pt2</t>
  </si>
  <si>
    <t>saumon pt3</t>
  </si>
  <si>
    <t>flèche milieu</t>
  </si>
  <si>
    <t>env milieu</t>
  </si>
  <si>
    <t>saumon milieu</t>
  </si>
  <si>
    <t>empl milieu</t>
  </si>
  <si>
    <t>empl pt4</t>
  </si>
  <si>
    <t>MS milieu</t>
  </si>
  <si>
    <t>MS Xcp</t>
  </si>
  <si>
    <t>1s</t>
  </si>
  <si>
    <t>t/T</t>
  </si>
  <si>
    <t>z/Z</t>
  </si>
  <si>
    <t>vertical</t>
  </si>
  <si>
    <t>horizontal</t>
  </si>
  <si>
    <t>flèches</t>
  </si>
  <si>
    <t>StabTraj</t>
  </si>
  <si>
    <t>StabTraj V3.0</t>
  </si>
  <si>
    <t>Trajecto</t>
  </si>
  <si>
    <t>µ-propu</t>
  </si>
  <si>
    <t>Minif</t>
  </si>
  <si>
    <t xml:space="preserve"> </t>
  </si>
  <si>
    <t>Événements</t>
  </si>
  <si>
    <t>Sous-échantillon 1Hz</t>
  </si>
  <si>
    <t>pos_x</t>
  </si>
  <si>
    <t>pos_z</t>
  </si>
  <si>
    <t>pos_xz</t>
  </si>
  <si>
    <t>vit_x</t>
  </si>
  <si>
    <t>vit_z</t>
  </si>
  <si>
    <t>vit_xz</t>
  </si>
  <si>
    <t>acc_x</t>
  </si>
  <si>
    <t>acc_z</t>
  </si>
  <si>
    <t>acc_xz</t>
  </si>
  <si>
    <t>Donneés au format des fiches de contrôles Fusex :</t>
  </si>
  <si>
    <t>Diamètre max</t>
  </si>
  <si>
    <t>Envergure totale</t>
  </si>
  <si>
    <t>sans</t>
  </si>
  <si>
    <t>vide</t>
  </si>
  <si>
    <t>plein</t>
  </si>
  <si>
    <t>Masse</t>
  </si>
  <si>
    <t>STAB 1</t>
  </si>
  <si>
    <t>STAB 2</t>
  </si>
  <si>
    <t>STAB 3</t>
  </si>
  <si>
    <t>STAB 4</t>
  </si>
  <si>
    <t>STAB 5</t>
  </si>
  <si>
    <t>Vsortie de rampe (&gt; 20 m/s)</t>
  </si>
  <si>
    <t>10 &lt; finesse &lt; 35</t>
  </si>
  <si>
    <t>15 &lt; Portance &lt; 40</t>
  </si>
  <si>
    <t>2*D &lt; Ms &lt; 6*D</t>
  </si>
  <si>
    <t>40 &lt; Ms x Cn &lt; 100</t>
  </si>
  <si>
    <t>Maître couple (m²)</t>
  </si>
  <si>
    <t>Site</t>
  </si>
  <si>
    <t>Temps balistique (s)</t>
  </si>
  <si>
    <t>Temps culmi (s)</t>
  </si>
  <si>
    <t>Altitude culmi (m)</t>
  </si>
  <si>
    <t>Vitesse culmi (m/s)</t>
  </si>
  <si>
    <t>CdG</t>
  </si>
  <si>
    <t>Diamètre max (40à200)</t>
  </si>
  <si>
    <t>Envergure totale &lt;720</t>
  </si>
  <si>
    <t>Masse &lt;15</t>
  </si>
  <si>
    <t>Pensez à modifier l'inclinaison pour avoir les 2 valeurs.</t>
  </si>
  <si>
    <t>Resist long aileron</t>
  </si>
  <si>
    <t>Resist transv aileron</t>
  </si>
  <si>
    <t>Compression 2.Acc.M</t>
  </si>
  <si>
    <t>N</t>
  </si>
  <si>
    <t>kg</t>
  </si>
  <si>
    <t>Surface aileron (m²)</t>
  </si>
  <si>
    <t>Masse aileron (kg)</t>
  </si>
  <si>
    <t>T dépotage +/-2s /appogée</t>
  </si>
  <si>
    <t>REC 2</t>
  </si>
  <si>
    <t>SEQ 5</t>
  </si>
  <si>
    <t>CR 1</t>
  </si>
  <si>
    <t>CR 2</t>
  </si>
  <si>
    <t>MEC 3</t>
  </si>
  <si>
    <t>Vitesse à l'ouverture m/s</t>
  </si>
  <si>
    <t>Surface parachute m²</t>
  </si>
  <si>
    <t xml:space="preserve">Choc à l'ouverture   N </t>
  </si>
  <si>
    <t>Choc à l'ouverture   kg</t>
  </si>
  <si>
    <t>Compression porte</t>
  </si>
  <si>
    <t>Masse au-dessus porte</t>
  </si>
  <si>
    <t>REC 8</t>
  </si>
  <si>
    <t>rad</t>
  </si>
  <si>
    <t>kg/s</t>
  </si>
  <si>
    <t>Méthodes d'intégration maison</t>
  </si>
  <si>
    <t>Wikipedia</t>
  </si>
  <si>
    <t>Pour se limiter à 1000 lignes, pas variable (les transitions sont-elles rigoureuses ?).</t>
  </si>
  <si>
    <t>Le Vol de la Fusée</t>
  </si>
  <si>
    <t>Beeman (2nd order, explicit variant)</t>
  </si>
  <si>
    <t>Newmark-beta (with γ=1/2 &amp; β=1/4) (2nd order)</t>
  </si>
  <si>
    <t>Spécificités de notre problème (2nd order mechanical ODE) :</t>
  </si>
  <si>
    <t>Verlet (2-stage 2nd order, symplectic, explicit)</t>
  </si>
  <si>
    <t>Trajec 2.x utililse un mélange douteux de différentes méthodes :</t>
  </si>
  <si>
    <t>Méthodes d'intégration explicites officielles</t>
  </si>
  <si>
    <t>On peut anticiper la Poussée (force qui varie le +) et la masse.</t>
  </si>
  <si>
    <t>L'Acc dépend de la vitesse (et peu de la position).</t>
  </si>
  <si>
    <t>Semi-implicit Euler (1st order, symplectic) [§ "Euler modifié" dans Le Vol de La Fusée]</t>
  </si>
  <si>
    <t>Explicit Euler (1st order, non-symplectic) [RK1]</t>
  </si>
  <si>
    <t>Velocity Verlet, Leapfrog variant (2nd order, symplectic, explicit)</t>
  </si>
  <si>
    <t>Midpoint, Modified Euler (2nd order, explicit) [§ "RK2" dans Le Vol de La Fusée]</t>
  </si>
  <si>
    <t>Heun, Improved Euler (2-stage 2nd-order, explicit, predictor-corrector) [Trapezoidal] [RK2]</t>
  </si>
  <si>
    <t>Les méthodes symplectic (conserve l'énergie) gardent-elles leur avantage quand la masse varie (ph propu) ?</t>
  </si>
  <si>
    <t>Sous Excel, on a les pas précédent (linear multistep possible), mais ordre élevé ou implicite sont à exclure.</t>
  </si>
  <si>
    <t>Multi{sub}step (RK), linear multi{previous}step (ADAMS), predictor-corrector, implicit …</t>
  </si>
  <si>
    <t>Dynamique de la fusée (repère sol)</t>
  </si>
  <si>
    <t>Brun/Orange…</t>
  </si>
  <si>
    <t>Rouge…</t>
  </si>
  <si>
    <t>Trajecto/StabTraj corrige l'erreur de Trajec sur Xn+1 en utilisant la vitesse moyenne :</t>
  </si>
  <si>
    <t>Idéalement, il serait préférable de tout calculer à n+0.5 (m, V, β, ρ).</t>
  </si>
  <si>
    <t>Checksum :</t>
  </si>
  <si>
    <t>M_éjecté</t>
  </si>
  <si>
    <t>M_burnout</t>
  </si>
  <si>
    <t>m_poudre</t>
  </si>
  <si>
    <t>Wapiti</t>
  </si>
  <si>
    <t>Cariacou</t>
  </si>
  <si>
    <t>H2O</t>
  </si>
  <si>
    <t>H2O 2.0L 400g 6bar</t>
  </si>
  <si>
    <t>H2O 2.0L 600g 6bar</t>
  </si>
  <si>
    <t>H2O 2.0L 800g 6bar</t>
  </si>
  <si>
    <t>H2O 2.0L 1000g 6bar</t>
  </si>
  <si>
    <t>ABACO</t>
  </si>
  <si>
    <t>Masse totale</t>
  </si>
  <si>
    <t>Traînée prop</t>
  </si>
  <si>
    <t>Traînée bal</t>
  </si>
  <si>
    <t>1/2.ρ.S.Cx</t>
  </si>
  <si>
    <t>M ph prop</t>
  </si>
  <si>
    <t>M ph bal</t>
  </si>
  <si>
    <t>alt_prop</t>
  </si>
  <si>
    <t>V_prop</t>
  </si>
  <si>
    <t>t_culmi</t>
  </si>
  <si>
    <t>D_var</t>
  </si>
  <si>
    <t>Q_var</t>
  </si>
  <si>
    <t>m_var</t>
  </si>
  <si>
    <t>m_prop</t>
  </si>
  <si>
    <t>m_bal</t>
  </si>
  <si>
    <t>a_prop</t>
  </si>
  <si>
    <t>b_prop</t>
  </si>
  <si>
    <t>b_bal</t>
  </si>
  <si>
    <t>Alt prop</t>
  </si>
  <si>
    <t>V max</t>
  </si>
  <si>
    <t>LibreOffice Calc 3.4 ou +</t>
  </si>
  <si>
    <t>alt_culmi</t>
  </si>
  <si>
    <t>x_triomphe</t>
  </si>
  <si>
    <t>z_triomphe</t>
  </si>
  <si>
    <t>Arc de triomphe</t>
  </si>
  <si>
    <t>z_Eiffel</t>
  </si>
  <si>
    <t>x_Eiffel</t>
  </si>
  <si>
    <t>Tour Eiffel</t>
  </si>
  <si>
    <t>H2O 1.5L 300g 6bar</t>
  </si>
  <si>
    <t>H2O 1.5L 450g 6bar</t>
  </si>
  <si>
    <t>H2O 1.5L 600g 6bar</t>
  </si>
  <si>
    <t>H2O 1.5L 750g 6bar</t>
  </si>
  <si>
    <t>FUSEX</t>
  </si>
  <si>
    <t>MINIF PRO29-1G</t>
  </si>
  <si>
    <t>MINIF PRO24-3G</t>
  </si>
  <si>
    <t>MINIF PRO29-2G</t>
  </si>
  <si>
    <t>MINIF PRO24-1G</t>
  </si>
  <si>
    <t>Pro98-2G WT</t>
  </si>
  <si>
    <t>Pro98-3G WT</t>
  </si>
  <si>
    <t>p24-1G 24E22</t>
  </si>
  <si>
    <t>p24-1G 26E31</t>
  </si>
  <si>
    <t>p24-3G 60F50</t>
  </si>
  <si>
    <t>p24-3G 68F79</t>
  </si>
  <si>
    <t>p24-3G 68F240</t>
  </si>
  <si>
    <t>p24-3G 73F30</t>
  </si>
  <si>
    <t>p24-3G 74F85</t>
  </si>
  <si>
    <t>p24-3G 75F51</t>
  </si>
  <si>
    <t>StabTraj V3.1</t>
  </si>
  <si>
    <t>StabTraj V3.2</t>
  </si>
  <si>
    <t>µ-propu C6-3 x2</t>
  </si>
  <si>
    <t>µ-propu C6-3 x3</t>
  </si>
  <si>
    <t>Propu : +RC &amp; +Tintin 2013 : 3 p24-1G, p24-3G 75F51 &amp; 60F50, Pro98-2G &amp; 3G WT</t>
  </si>
  <si>
    <t>Propu : +multi-µ-fu, -Wapiti, warning Cariacou, "Rufina"</t>
  </si>
  <si>
    <t>Donneés au format des fiches de lancement Fusex :</t>
  </si>
  <si>
    <t>Projet</t>
  </si>
  <si>
    <t>Chef de projet</t>
  </si>
  <si>
    <t>Date</t>
  </si>
  <si>
    <t>Moteur</t>
  </si>
  <si>
    <t>Virole</t>
  </si>
  <si>
    <t>MECANIQUE</t>
  </si>
  <si>
    <t xml:space="preserve">l = </t>
  </si>
  <si>
    <t xml:space="preserve">D = </t>
  </si>
  <si>
    <t>Dj =</t>
  </si>
  <si>
    <t xml:space="preserve">Dr = </t>
  </si>
  <si>
    <t xml:space="preserve">m = </t>
  </si>
  <si>
    <t>Epaisseur :</t>
  </si>
  <si>
    <t>Nb Aileron</t>
  </si>
  <si>
    <t>Type ogive</t>
  </si>
  <si>
    <t>ogivale</t>
  </si>
  <si>
    <t>parabolique</t>
  </si>
  <si>
    <t>X_plaque de poussée</t>
  </si>
  <si>
    <t>Masse fusée</t>
  </si>
  <si>
    <t>X_CdG</t>
  </si>
  <si>
    <t>Propu plein</t>
  </si>
  <si>
    <t>Sans propu</t>
  </si>
  <si>
    <t>Masse avec propu vide</t>
  </si>
  <si>
    <t>Simulation de vol</t>
  </si>
  <si>
    <t>Tenue mécanique</t>
  </si>
  <si>
    <t>masse d'un aileron</t>
  </si>
  <si>
    <t>superficie d'un aileron</t>
  </si>
  <si>
    <t>fleche acceptable(mm)</t>
  </si>
  <si>
    <t>compression</t>
  </si>
  <si>
    <t>Resistance longitudinale d'un aileron</t>
  </si>
  <si>
    <t>Resistance transversale d'un aileron</t>
  </si>
  <si>
    <t>Récupération</t>
  </si>
  <si>
    <t>Ralentisseur</t>
  </si>
  <si>
    <t>nombre de suspentes</t>
  </si>
  <si>
    <t>surface parachute</t>
  </si>
  <si>
    <t>force à tester totale</t>
  </si>
  <si>
    <t>force sur suspente</t>
  </si>
  <si>
    <t>Séparation latérale</t>
  </si>
  <si>
    <t>masse au dessus case para</t>
  </si>
  <si>
    <t>Force de compression</t>
  </si>
  <si>
    <t>MINIF PRO24-6G</t>
  </si>
  <si>
    <t>MINIF PRO38-1G</t>
  </si>
  <si>
    <t>p29-2G 84G88</t>
  </si>
  <si>
    <t>p29-2G 93G80</t>
  </si>
  <si>
    <t>p29-2G 110G250</t>
  </si>
  <si>
    <t>p29-2G 116G126</t>
  </si>
  <si>
    <t>p38-1G 137G58</t>
  </si>
  <si>
    <t>p38-1G 128G185</t>
  </si>
  <si>
    <t>p29-1G 41F36</t>
  </si>
  <si>
    <t>p29-1G 51F36</t>
  </si>
  <si>
    <t>p29-1G 55F29</t>
  </si>
  <si>
    <t>p29-1G 56F120</t>
  </si>
  <si>
    <t>p29-1G 57F59</t>
  </si>
  <si>
    <t>MINIF PRO29-3G</t>
  </si>
  <si>
    <t>p29-3G 125G131</t>
  </si>
  <si>
    <t>p38-1G 141G78</t>
  </si>
  <si>
    <t>MINIF PRO24-2G</t>
  </si>
  <si>
    <t>p24-2G 50E51</t>
  </si>
  <si>
    <t>p24-1G 53E70</t>
  </si>
  <si>
    <t>p29-3G 159G125</t>
  </si>
  <si>
    <t>Dépotage</t>
  </si>
  <si>
    <t>Combustion</t>
  </si>
  <si>
    <t>Sylvain Besson</t>
  </si>
  <si>
    <t>Minif Test</t>
  </si>
  <si>
    <t>Rocketry Challenge</t>
  </si>
  <si>
    <t>,Minif Tests</t>
  </si>
  <si>
    <t>MiniR</t>
  </si>
  <si>
    <t>MiniRN</t>
  </si>
  <si>
    <t>MiniN</t>
  </si>
  <si>
    <t>H20</t>
  </si>
  <si>
    <t>micro</t>
  </si>
  <si>
    <t>minif N</t>
  </si>
  <si>
    <t>Verification moteur</t>
  </si>
  <si>
    <t>Minif RC</t>
  </si>
  <si>
    <t>N/A</t>
  </si>
  <si>
    <t>T_para =</t>
  </si>
  <si>
    <t>-9</t>
  </si>
  <si>
    <t>-7</t>
  </si>
  <si>
    <t>-5</t>
  </si>
  <si>
    <t>-3</t>
  </si>
  <si>
    <t>-0</t>
  </si>
  <si>
    <t>Délais dépotage</t>
  </si>
  <si>
    <t>Propu : +ProX, Stabilito : séparation minif/RC, Trajecto : dépotage +rampe RC 3m</t>
  </si>
  <si>
    <t>StabTraj V3.3a</t>
  </si>
  <si>
    <t>p24-1G 25E75 (Rufina)</t>
  </si>
  <si>
    <t>Modification des alertes, +Effort subit par les parachutes</t>
  </si>
  <si>
    <t>Pour prendre en compte plsu de moteurs, il faut changer les variables "menu_type" et "liste"propu" dans le gestionnaire de noms.</t>
  </si>
  <si>
    <t>StabTraj V3.3e</t>
  </si>
  <si>
    <t>Efforts</t>
  </si>
  <si>
    <t>Xcp0</t>
  </si>
  <si>
    <t>sans propu</t>
  </si>
  <si>
    <t>Mono-empennage</t>
  </si>
  <si>
    <t>Bi-empennage</t>
  </si>
  <si>
    <t>Portée balistique &lt; 200 m</t>
  </si>
  <si>
    <t>Indication dépotage lanceur</t>
  </si>
  <si>
    <t>~0 m</t>
  </si>
  <si>
    <t>Données au format des fiches de contrôles minif :</t>
  </si>
  <si>
    <t xml:space="preserve">n = </t>
  </si>
  <si>
    <t xml:space="preserve">E = </t>
  </si>
  <si>
    <t xml:space="preserve">p = </t>
  </si>
  <si>
    <t>1,5.D &lt; Ms &lt; 6.D</t>
  </si>
  <si>
    <t xml:space="preserve">ailrons haut </t>
  </si>
  <si>
    <t>nombre</t>
  </si>
  <si>
    <t xml:space="preserve">ep = </t>
  </si>
  <si>
    <t>Fusée</t>
  </si>
  <si>
    <t>D</t>
  </si>
  <si>
    <t>L ogive</t>
  </si>
  <si>
    <t>L tot</t>
  </si>
  <si>
    <t>X prop</t>
  </si>
  <si>
    <t>Ailerons</t>
  </si>
  <si>
    <t>n</t>
  </si>
  <si>
    <t>p</t>
  </si>
  <si>
    <t>E</t>
  </si>
  <si>
    <t>X ail</t>
  </si>
  <si>
    <t>Bi empennage</t>
  </si>
  <si>
    <t>L</t>
  </si>
  <si>
    <t>D 1</t>
  </si>
  <si>
    <t>D 2</t>
  </si>
  <si>
    <t>X</t>
  </si>
  <si>
    <t>X cg (sans)</t>
  </si>
  <si>
    <t>(mm)</t>
  </si>
  <si>
    <t>Masse sans propu (kg)</t>
  </si>
  <si>
    <t>Couleur de la fusée</t>
  </si>
  <si>
    <t>Type d'éjection du para.</t>
  </si>
  <si>
    <t>Couleur du ralentisseur</t>
  </si>
  <si>
    <t>Surface ralentisseur (m²)</t>
  </si>
  <si>
    <t>Masse sans prop. (kg)</t>
  </si>
  <si>
    <t>Diamètre max (mm)</t>
  </si>
  <si>
    <t>Longeur de la rampe (m)</t>
  </si>
  <si>
    <t>Propulseur</t>
  </si>
  <si>
    <t>module rocket(){</t>
  </si>
  <si>
    <t>}</t>
  </si>
  <si>
    <t>//--------------------------------coiffe</t>
  </si>
  <si>
    <t>if (coiffe_type   == "conique"){</t>
  </si>
  <si>
    <t>//--------------------------------corps</t>
  </si>
  <si>
    <t>if (plusieur_diametres == false){</t>
  </si>
  <si>
    <t>} else {</t>
  </si>
  <si>
    <t>//--------------------------------ailerons</t>
  </si>
  <si>
    <t>aileron(coiffe_diametre, aileron_m_emplature,</t>
  </si>
  <si>
    <t xml:space="preserve"> aileron_position_bas);</t>
  </si>
  <si>
    <t>if (bi_empennage == true){</t>
  </si>
  <si>
    <t xml:space="preserve"> aileron_sup_nombre,</t>
  </si>
  <si>
    <t>rocket();</t>
  </si>
  <si>
    <t xml:space="preserve">	module aileron(diam, m, n, p, e, ep, nb, pos, masque = true){</t>
  </si>
  <si>
    <t xml:space="preserve"> 		depha =   masque ? 0 : 45 ;</t>
  </si>
  <si>
    <t xml:space="preserve">		for (angle = [0 : 360/nb : 360] ){</t>
  </si>
  <si>
    <t xml:space="preserve">			translate ([-diam*sin(angle+depha), diam*cos(angle+depha), pos-m]) {</t>
  </si>
  <si>
    <t xml:space="preserve">				rotate( [0, 0, angle+depha] ){</t>
  </si>
  <si>
    <t xml:space="preserve">	</t>
  </si>
  <si>
    <t xml:space="preserve">					polyhedron</t>
  </si>
  <si>
    <t xml:space="preserve">						(points = [</t>
  </si>
  <si>
    <t xml:space="preserve">							[+ep, 0, 0], [+ep, 0, m], [+ep, e, p+n],  [+ep, e, p],</t>
  </si>
  <si>
    <t xml:space="preserve">							[-ep, 0, 0], [-ep, 0, m], [-ep, e, p+n],  [-ep, e, p]</t>
  </si>
  <si>
    <t xml:space="preserve">							],</t>
  </si>
  <si>
    <t xml:space="preserve">						triangles = [</t>
  </si>
  <si>
    <t xml:space="preserve">							[0, 2, 1], [0, 2, 3], //carre +</t>
  </si>
  <si>
    <t xml:space="preserve">							[4, 6, 5], [4, 6, 7], //carre -</t>
  </si>
  <si>
    <t xml:space="preserve">							[0, 5, 1], [0, 5, 4],</t>
  </si>
  <si>
    <t xml:space="preserve">							[1, 6, 2], [1, 6, 5],</t>
  </si>
  <si>
    <t xml:space="preserve">							[2, 7, 3], [2, 7, 6],</t>
  </si>
  <si>
    <t xml:space="preserve">							[0, 7, 3], [0, 7, 4]</t>
  </si>
  <si>
    <t xml:space="preserve">							]</t>
  </si>
  <si>
    <t xml:space="preserve">						);</t>
  </si>
  <si>
    <t xml:space="preserve">				}</t>
  </si>
  <si>
    <t xml:space="preserve">			}</t>
  </si>
  <si>
    <t xml:space="preserve">		}</t>
  </si>
  <si>
    <t xml:space="preserve">	}	</t>
  </si>
  <si>
    <t xml:space="preserve">	module coiffe(diam, hauteur, resolution = 20.0){</t>
  </si>
  <si>
    <t xml:space="preserve">		pas = hauteur/resolution;</t>
  </si>
  <si>
    <t xml:space="preserve">		for (x = [0: pas : hauteur] ){</t>
  </si>
  <si>
    <t xml:space="preserve">			translate( [0, 0, x+pas] ){</t>
  </si>
  <si>
    <t xml:space="preserve">				cylinder(pas, pow(x, 1.0/2.0), pow(x+pas, 1.0/2.0), false);</t>
  </si>
  <si>
    <t xml:space="preserve">	}</t>
  </si>
  <si>
    <t xml:space="preserve">	cylinder(coiffe_hauteur, 0, coiffe_diametre, false);</t>
  </si>
  <si>
    <t xml:space="preserve">	translate ([0, 0, coiffe_hauteur]) {</t>
  </si>
  <si>
    <t xml:space="preserve">		cylinder(longeur_total-coiffe_hauteur, coiffe_diametre, coiffe_diametre, false);</t>
  </si>
  <si>
    <t xml:space="preserve">	//Premier cylindre</t>
  </si>
  <si>
    <t xml:space="preserve">		cylinder(diam_A_X_implantation-coiffe_hauteur, coiffe_diametre, coiffe_diametre, false);</t>
  </si>
  <si>
    <t xml:space="preserve">	//Premier chanvrin</t>
  </si>
  <si>
    <t xml:space="preserve">	translate ([0, 0, diam_A_X_implantation]) {</t>
  </si>
  <si>
    <t xml:space="preserve">		cylinder(diam_A_L_longeur, diam_A_D1_diametre, diam_A_D2_diametre, false);</t>
  </si>
  <si>
    <t xml:space="preserve">		</t>
  </si>
  <si>
    <t xml:space="preserve">	//Second cylindre</t>
  </si>
  <si>
    <t xml:space="preserve">	translate ([0, 0, diam_A_X_implantation+diam_A_L_longeur]) {</t>
  </si>
  <si>
    <t xml:space="preserve">		cylinder(diam_B_X_implantation-(diam_A_X_implantation+diam_A_L_longeur), diam_A_D2_diametre, diam_B_D1_diametre, false);</t>
  </si>
  <si>
    <t xml:space="preserve">	//Second chanvrin</t>
  </si>
  <si>
    <t xml:space="preserve">	translate ([0, 0, diam_B_X_implantation]) {</t>
  </si>
  <si>
    <t xml:space="preserve">		cylinder(diam_B_L_longeur, diam_B_D1_diametre, diam_B_D2_diametre, false);</t>
  </si>
  <si>
    <t xml:space="preserve">	//Troisieme cylindre</t>
  </si>
  <si>
    <t xml:space="preserve">	translate ([0, 0, diam_B_X_implantation + diam_B_L_longeur]) {</t>
  </si>
  <si>
    <t xml:space="preserve">		cylinder(longeur_total-(diam_B_X_implantation + diam_B_L_longeur), diam_B_D2_diametre, diam_B_D2_diametre, false);</t>
  </si>
  <si>
    <t xml:space="preserve">	 aileron_n_saumon, </t>
  </si>
  <si>
    <t xml:space="preserve">	 aileron_p_fleche,</t>
  </si>
  <si>
    <t xml:space="preserve">	 aileron_e_envergure,</t>
  </si>
  <si>
    <t xml:space="preserve">	 aileron_epaisseur,</t>
  </si>
  <si>
    <t xml:space="preserve">	 aileron_nombre,</t>
  </si>
  <si>
    <t xml:space="preserve">	aileron(coiffe_diametre, aileron_sup_m_emplature,</t>
  </si>
  <si>
    <t xml:space="preserve">	 aileron_sup_n_saumon,</t>
  </si>
  <si>
    <t xml:space="preserve">	 aileron_sup_p_fleche,</t>
  </si>
  <si>
    <t xml:space="preserve">	 aileron_sup_e_envergure,</t>
  </si>
  <si>
    <t xml:space="preserve">	 aileron_sup_epaisseur,</t>
  </si>
  <si>
    <t xml:space="preserve">	 aileron_sup_position_bas,</t>
  </si>
  <si>
    <t xml:space="preserve">	 aileron_sup_masque);</t>
  </si>
  <si>
    <t>p24-6G 140G145 PK</t>
  </si>
  <si>
    <t>p24-6G 139G107 DT</t>
  </si>
  <si>
    <t>p24-6G 142G117 WT</t>
  </si>
  <si>
    <t>Klima D9-7 x2</t>
  </si>
  <si>
    <t>Klima D9-7 x3</t>
  </si>
  <si>
    <t>Klima D9-7</t>
  </si>
  <si>
    <t>autre</t>
  </si>
  <si>
    <t>Pandora</t>
  </si>
  <si>
    <t>StabTraj V3.4</t>
  </si>
  <si>
    <t>Propu : +Pandora</t>
  </si>
  <si>
    <t>v3.4</t>
  </si>
  <si>
    <t>Fusée expérimentale.</t>
  </si>
  <si>
    <t>Conique (droite)</t>
  </si>
  <si>
    <t>Plusieurs diamètres.</t>
  </si>
  <si>
    <t>SP-02-alpha</t>
  </si>
  <si>
    <t>l'AéroIPSA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</si>
</sst>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164" formatCode="General&quot; kg&quot;"/>
    <numFmt numFmtId="165" formatCode="0.0"/>
    <numFmt numFmtId="166" formatCode="0.000000&quot; m²&quot;"/>
    <numFmt numFmtId="167" formatCode="General&quot; m&quot;"/>
    <numFmt numFmtId="168" formatCode="General&quot; °&quot;"/>
    <numFmt numFmtId="169" formatCode="0.000"/>
    <numFmt numFmtId="170" formatCode="General&quot; s&quot;"/>
    <numFmt numFmtId="171" formatCode="General&quot; m²&quot;"/>
    <numFmt numFmtId="172" formatCode="0&quot; m/s&quot;"/>
    <numFmt numFmtId="173" formatCode="0&quot; s&quot;"/>
    <numFmt numFmtId="174" formatCode="General&quot; m/s&quot;"/>
    <numFmt numFmtId="175" formatCode="0&quot; m&quot;"/>
    <numFmt numFmtId="176" formatCode="General\ &quot;kg&quot;"/>
    <numFmt numFmtId="177" formatCode="General\ &quot;mm&quot;"/>
    <numFmt numFmtId="178" formatCode="0&quot; mm&quot;"/>
    <numFmt numFmtId="179" formatCode="General\ &quot;D&quot;"/>
    <numFmt numFmtId="180" formatCode="0.00&quot; D&quot;"/>
    <numFmt numFmtId="181" formatCode="0&quot;% L&quot;"/>
    <numFmt numFmtId="182" formatCode="General\°"/>
    <numFmt numFmtId="183" formatCode="0.#"/>
    <numFmt numFmtId="184" formatCode="0.0&quot; N.s&quot;"/>
    <numFmt numFmtId="185" formatCode="\±\ 0&quot; m&quot;"/>
    <numFmt numFmtId="186" formatCode="0.0&quot; s&quot;"/>
    <numFmt numFmtId="187" formatCode="0.0&quot; m/s&quot;"/>
    <numFmt numFmtId="188" formatCode="0&quot; m/s²&quot;"/>
    <numFmt numFmtId="189" formatCode="0.00&quot; m²&quot;"/>
    <numFmt numFmtId="190" formatCode="General\ &quot;g&quot;"/>
    <numFmt numFmtId="191" formatCode="#,##0.0\ [$ N]"/>
    <numFmt numFmtId="192" formatCode="#,##0.000\ [$KG]"/>
    <numFmt numFmtId="193" formatCode="0.0&quot; mm&quot;"/>
    <numFmt numFmtId="194" formatCode="General&quot; kg ±100%&quot;"/>
    <numFmt numFmtId="195" formatCode="0&quot; mm ±50%&quot;"/>
    <numFmt numFmtId="196" formatCode="General\ &quot;m/s²&quot;"/>
    <numFmt numFmtId="197" formatCode="&quot;Ø = &quot;0&quot; mm&quot;"/>
    <numFmt numFmtId="198" formatCode="#,##0\ [$ mm²]"/>
    <numFmt numFmtId="199" formatCode="#,#00\ [$ mm]"/>
    <numFmt numFmtId="200" formatCode="#,##0\ [$mm]"/>
    <numFmt numFmtId="201" formatCode="#,##0.00000\ [$ m²]"/>
    <numFmt numFmtId="202" formatCode="#,##0.0\ [$ kg]"/>
    <numFmt numFmtId="203" formatCode="0.00&quot; s&quot;"/>
    <numFmt numFmtId="204" formatCode="0.0&quot; N&quot;"/>
    <numFmt numFmtId="205" formatCode="0&quot; J&quot;"/>
    <numFmt numFmtId="206" formatCode="0&quot; G&quot;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16"/>
      <name val="Tahoma"/>
      <family val="2"/>
    </font>
    <font>
      <strike/>
      <sz val="10"/>
      <name val="Arial"/>
      <family val="2"/>
    </font>
    <font>
      <b/>
      <i/>
      <sz val="8"/>
      <color indexed="8"/>
      <name val="Tahoma"/>
      <family val="2"/>
    </font>
    <font>
      <b/>
      <sz val="10"/>
      <color indexed="23"/>
      <name val="Arial"/>
      <family val="2"/>
    </font>
    <font>
      <b/>
      <sz val="6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Tahoma"/>
      <family val="2"/>
    </font>
    <font>
      <i/>
      <sz val="8"/>
      <color indexed="12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color indexed="53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8"/>
      <color rgb="FF808080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i/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  <font>
      <b/>
      <sz val="8"/>
      <color rgb="FF800000"/>
      <name val="Tahoma"/>
      <family val="2"/>
    </font>
    <font>
      <i/>
      <sz val="8"/>
      <color rgb="FF8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7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44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CFFFF"/>
        <bgColor indexed="41"/>
      </patternFill>
    </fill>
    <fill>
      <patternFill patternType="solid">
        <fgColor rgb="FF99CCFF"/>
        <bgColor indexed="31"/>
      </patternFill>
    </fill>
    <fill>
      <patternFill patternType="solid">
        <fgColor rgb="FFCCFFFF"/>
        <bgColor indexed="42"/>
      </patternFill>
    </fill>
    <fill>
      <patternFill patternType="solid">
        <fgColor rgb="FFCCFFCC"/>
        <bgColor indexed="42"/>
      </patternFill>
    </fill>
    <fill>
      <patternFill patternType="solid">
        <fgColor rgb="FFCCFFCC"/>
        <bgColor indexed="41"/>
      </patternFill>
    </fill>
    <fill>
      <patternFill patternType="solid">
        <fgColor rgb="FFFFCC99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42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42"/>
      </patternFill>
    </fill>
  </fills>
  <borders count="103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57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2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18"/>
      </left>
      <right/>
      <top style="thick">
        <color indexed="18"/>
      </top>
      <bottom style="thick">
        <color indexed="18"/>
      </bottom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23"/>
      </top>
      <bottom style="thin">
        <color indexed="8"/>
      </bottom>
      <diagonal/>
    </border>
    <border>
      <left/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6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14" fontId="0" fillId="0" borderId="0" xfId="0" applyNumberFormat="1" applyAlignment="1">
      <alignment horizontal="left"/>
    </xf>
    <xf numFmtId="17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2" fillId="0" borderId="3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15" fillId="0" borderId="4" xfId="2" applyFont="1" applyBorder="1" applyProtection="1">
      <protection hidden="1"/>
    </xf>
    <xf numFmtId="0" fontId="1" fillId="0" borderId="5" xfId="2" applyBorder="1"/>
    <xf numFmtId="0" fontId="2" fillId="0" borderId="0" xfId="2" applyFont="1"/>
    <xf numFmtId="0" fontId="2" fillId="0" borderId="6" xfId="2" applyFont="1" applyBorder="1"/>
    <xf numFmtId="0" fontId="15" fillId="0" borderId="0" xfId="2" applyFont="1" applyProtection="1">
      <protection hidden="1"/>
    </xf>
    <xf numFmtId="0" fontId="1" fillId="0" borderId="7" xfId="2" applyBorder="1"/>
    <xf numFmtId="0" fontId="4" fillId="0" borderId="0" xfId="2" applyFont="1"/>
    <xf numFmtId="0" fontId="2" fillId="0" borderId="7" xfId="2" applyFont="1" applyBorder="1"/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16" fillId="0" borderId="0" xfId="2" applyFont="1"/>
    <xf numFmtId="0" fontId="2" fillId="0" borderId="0" xfId="2" applyFont="1" applyProtection="1">
      <protection hidden="1"/>
    </xf>
    <xf numFmtId="0" fontId="15" fillId="4" borderId="8" xfId="2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16" fillId="0" borderId="0" xfId="2" applyFont="1" applyProtection="1">
      <protection hidden="1"/>
    </xf>
    <xf numFmtId="0" fontId="15" fillId="0" borderId="0" xfId="2" applyFont="1"/>
    <xf numFmtId="14" fontId="15" fillId="0" borderId="0" xfId="2" applyNumberFormat="1" applyFont="1" applyAlignment="1" applyProtection="1">
      <alignment horizontal="center"/>
      <protection hidden="1"/>
    </xf>
    <xf numFmtId="0" fontId="2" fillId="0" borderId="9" xfId="2" applyFont="1" applyBorder="1"/>
    <xf numFmtId="0" fontId="2" fillId="0" borderId="10" xfId="2" applyFont="1" applyBorder="1" applyAlignment="1" applyProtection="1">
      <alignment horizontal="center"/>
      <protection locked="0"/>
    </xf>
    <xf numFmtId="0" fontId="2" fillId="0" borderId="10" xfId="2" applyFont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5" fillId="0" borderId="0" xfId="0" applyFont="1"/>
    <xf numFmtId="0" fontId="23" fillId="0" borderId="0" xfId="0" applyFont="1"/>
    <xf numFmtId="1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169" fontId="0" fillId="0" borderId="0" xfId="0" applyNumberFormat="1" applyAlignment="1" applyProtection="1">
      <alignment vertical="center"/>
      <protection hidden="1"/>
    </xf>
    <xf numFmtId="164" fontId="0" fillId="3" borderId="11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5" fillId="0" borderId="10" xfId="2" applyFont="1" applyBorder="1" applyProtection="1">
      <protection locked="0"/>
    </xf>
    <xf numFmtId="0" fontId="10" fillId="0" borderId="0" xfId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0" fillId="0" borderId="0" xfId="2" applyFont="1" applyAlignment="1" applyProtection="1">
      <alignment horizontal="center"/>
      <protection hidden="1"/>
    </xf>
    <xf numFmtId="0" fontId="8" fillId="0" borderId="4" xfId="2" applyFont="1" applyBorder="1"/>
    <xf numFmtId="0" fontId="8" fillId="0" borderId="0" xfId="2" applyFont="1"/>
    <xf numFmtId="0" fontId="8" fillId="0" borderId="0" xfId="2" applyFont="1" applyProtection="1">
      <protection hidden="1"/>
    </xf>
    <xf numFmtId="0" fontId="8" fillId="0" borderId="10" xfId="2" applyFont="1" applyBorder="1" applyProtection="1">
      <protection locked="0"/>
    </xf>
    <xf numFmtId="0" fontId="8" fillId="0" borderId="0" xfId="2" applyFont="1" applyAlignment="1" applyProtection="1">
      <alignment horizontal="center"/>
      <protection hidden="1"/>
    </xf>
    <xf numFmtId="1" fontId="8" fillId="0" borderId="0" xfId="2" applyNumberFormat="1" applyFont="1" applyAlignment="1" applyProtection="1">
      <alignment horizontal="center"/>
      <protection hidden="1"/>
    </xf>
    <xf numFmtId="0" fontId="28" fillId="0" borderId="0" xfId="2" applyFont="1"/>
    <xf numFmtId="0" fontId="0" fillId="0" borderId="0" xfId="0" applyProtection="1">
      <protection locked="0"/>
    </xf>
    <xf numFmtId="165" fontId="2" fillId="5" borderId="14" xfId="2" applyNumberFormat="1" applyFont="1" applyFill="1" applyBorder="1" applyAlignment="1">
      <alignment horizontal="center"/>
    </xf>
    <xf numFmtId="180" fontId="2" fillId="5" borderId="2" xfId="2" applyNumberFormat="1" applyFont="1" applyFill="1" applyBorder="1" applyAlignment="1">
      <alignment horizontal="center"/>
    </xf>
    <xf numFmtId="180" fontId="2" fillId="5" borderId="14" xfId="2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81" fontId="25" fillId="5" borderId="2" xfId="2" applyNumberFormat="1" applyFont="1" applyFill="1" applyBorder="1" applyAlignment="1">
      <alignment horizontal="center"/>
    </xf>
    <xf numFmtId="181" fontId="25" fillId="5" borderId="14" xfId="2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  <protection hidden="1"/>
    </xf>
    <xf numFmtId="0" fontId="25" fillId="5" borderId="2" xfId="2" applyFont="1" applyFill="1" applyBorder="1" applyAlignment="1" applyProtection="1">
      <alignment horizontal="center"/>
      <protection hidden="1"/>
    </xf>
    <xf numFmtId="0" fontId="29" fillId="5" borderId="2" xfId="2" applyFont="1" applyFill="1" applyBorder="1" applyAlignment="1" applyProtection="1">
      <alignment horizontal="center"/>
      <protection hidden="1"/>
    </xf>
    <xf numFmtId="0" fontId="2" fillId="6" borderId="2" xfId="2" applyFont="1" applyFill="1" applyBorder="1" applyAlignment="1">
      <alignment horizontal="center"/>
    </xf>
    <xf numFmtId="0" fontId="25" fillId="6" borderId="2" xfId="2" applyFont="1" applyFill="1" applyBorder="1" applyAlignment="1">
      <alignment horizontal="center"/>
    </xf>
    <xf numFmtId="0" fontId="30" fillId="0" borderId="0" xfId="2" applyFont="1"/>
    <xf numFmtId="0" fontId="30" fillId="6" borderId="2" xfId="2" applyFont="1" applyFill="1" applyBorder="1" applyAlignment="1" applyProtection="1">
      <alignment horizontal="center"/>
      <protection hidden="1"/>
    </xf>
    <xf numFmtId="176" fontId="30" fillId="5" borderId="2" xfId="2" applyNumberFormat="1" applyFont="1" applyFill="1" applyBorder="1" applyAlignment="1" applyProtection="1">
      <alignment horizontal="center"/>
      <protection hidden="1"/>
    </xf>
    <xf numFmtId="0" fontId="30" fillId="5" borderId="2" xfId="2" applyFont="1" applyFill="1" applyBorder="1" applyAlignment="1">
      <alignment horizontal="center"/>
    </xf>
    <xf numFmtId="177" fontId="30" fillId="5" borderId="2" xfId="2" applyNumberFormat="1" applyFont="1" applyFill="1" applyBorder="1" applyAlignment="1" applyProtection="1">
      <alignment horizontal="center"/>
      <protection hidden="1"/>
    </xf>
    <xf numFmtId="176" fontId="30" fillId="5" borderId="2" xfId="2" applyNumberFormat="1" applyFont="1" applyFill="1" applyBorder="1" applyAlignment="1">
      <alignment horizontal="center"/>
    </xf>
    <xf numFmtId="178" fontId="30" fillId="5" borderId="2" xfId="2" applyNumberFormat="1" applyFont="1" applyFill="1" applyBorder="1" applyAlignment="1" applyProtection="1">
      <alignment horizontal="center"/>
      <protection hidden="1"/>
    </xf>
    <xf numFmtId="0" fontId="30" fillId="0" borderId="0" xfId="2" applyFont="1" applyProtection="1">
      <protection hidden="1"/>
    </xf>
    <xf numFmtId="2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65" fontId="15" fillId="7" borderId="15" xfId="0" applyNumberFormat="1" applyFon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65" fontId="15" fillId="7" borderId="16" xfId="0" applyNumberFormat="1" applyFont="1" applyFill="1" applyBorder="1" applyAlignment="1">
      <alignment horizontal="center" vertical="center"/>
    </xf>
    <xf numFmtId="1" fontId="2" fillId="7" borderId="17" xfId="0" applyNumberFormat="1" applyFon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" fontId="15" fillId="7" borderId="16" xfId="0" applyNumberFormat="1" applyFont="1" applyFill="1" applyBorder="1" applyAlignment="1">
      <alignment horizontal="center" vertical="center"/>
    </xf>
    <xf numFmtId="1" fontId="15" fillId="7" borderId="17" xfId="0" applyNumberFormat="1" applyFont="1" applyFill="1" applyBorder="1" applyAlignment="1">
      <alignment horizontal="center" vertical="center"/>
    </xf>
    <xf numFmtId="165" fontId="2" fillId="7" borderId="17" xfId="0" applyNumberFormat="1" applyFont="1" applyFill="1" applyBorder="1" applyAlignment="1">
      <alignment horizontal="center" vertical="center"/>
    </xf>
    <xf numFmtId="173" fontId="2" fillId="7" borderId="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  <protection hidden="1"/>
    </xf>
    <xf numFmtId="0" fontId="2" fillId="9" borderId="15" xfId="0" applyFont="1" applyFill="1" applyBorder="1" applyAlignment="1" applyProtection="1">
      <alignment horizontal="center" vertical="center"/>
      <protection hidden="1"/>
    </xf>
    <xf numFmtId="0" fontId="5" fillId="9" borderId="15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11" borderId="15" xfId="0" applyFont="1" applyFill="1" applyBorder="1" applyAlignment="1" applyProtection="1">
      <alignment horizontal="center" vertical="center"/>
      <protection hidden="1"/>
    </xf>
    <xf numFmtId="0" fontId="2" fillId="11" borderId="18" xfId="0" applyFont="1" applyFill="1" applyBorder="1" applyAlignment="1" applyProtection="1">
      <alignment horizontal="center" vertical="center"/>
      <protection hidden="1"/>
    </xf>
    <xf numFmtId="0" fontId="13" fillId="12" borderId="2" xfId="0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74" fontId="2" fillId="13" borderId="2" xfId="0" applyNumberFormat="1" applyFont="1" applyFill="1" applyBorder="1" applyAlignment="1" applyProtection="1">
      <alignment horizontal="center" vertical="center"/>
      <protection locked="0"/>
    </xf>
    <xf numFmtId="178" fontId="14" fillId="14" borderId="2" xfId="2" applyNumberFormat="1" applyFont="1" applyFill="1" applyBorder="1" applyAlignment="1">
      <alignment horizontal="center"/>
    </xf>
    <xf numFmtId="1" fontId="27" fillId="14" borderId="2" xfId="2" applyNumberFormat="1" applyFont="1" applyFill="1" applyBorder="1" applyAlignment="1">
      <alignment horizontal="center"/>
    </xf>
    <xf numFmtId="0" fontId="2" fillId="10" borderId="2" xfId="2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 applyProtection="1">
      <alignment horizontal="center" vertical="center"/>
      <protection locked="0"/>
    </xf>
    <xf numFmtId="185" fontId="2" fillId="7" borderId="2" xfId="0" applyNumberFormat="1" applyFont="1" applyFill="1" applyBorder="1" applyAlignment="1">
      <alignment horizontal="center" vertical="center"/>
    </xf>
    <xf numFmtId="186" fontId="0" fillId="7" borderId="16" xfId="0" applyNumberFormat="1" applyFill="1" applyBorder="1" applyAlignment="1">
      <alignment horizontal="center" vertical="center"/>
    </xf>
    <xf numFmtId="186" fontId="2" fillId="7" borderId="15" xfId="0" applyNumberFormat="1" applyFont="1" applyFill="1" applyBorder="1" applyAlignment="1">
      <alignment horizontal="center" vertical="center"/>
    </xf>
    <xf numFmtId="175" fontId="15" fillId="7" borderId="16" xfId="0" applyNumberFormat="1" applyFont="1" applyFill="1" applyBorder="1" applyAlignment="1">
      <alignment horizontal="center" vertical="center"/>
    </xf>
    <xf numFmtId="175" fontId="15" fillId="7" borderId="15" xfId="0" applyNumberFormat="1" applyFont="1" applyFill="1" applyBorder="1" applyAlignment="1">
      <alignment horizontal="center" vertical="center"/>
    </xf>
    <xf numFmtId="175" fontId="2" fillId="7" borderId="16" xfId="0" applyNumberFormat="1" applyFont="1" applyFill="1" applyBorder="1" applyAlignment="1">
      <alignment horizontal="center" vertical="center"/>
    </xf>
    <xf numFmtId="175" fontId="2" fillId="7" borderId="15" xfId="0" applyNumberFormat="1" applyFont="1" applyFill="1" applyBorder="1" applyAlignment="1">
      <alignment horizontal="center" vertical="center"/>
    </xf>
    <xf numFmtId="172" fontId="2" fillId="7" borderId="15" xfId="0" applyNumberFormat="1" applyFont="1" applyFill="1" applyBorder="1" applyAlignment="1">
      <alignment horizontal="center" vertical="center"/>
    </xf>
    <xf numFmtId="172" fontId="2" fillId="7" borderId="16" xfId="0" applyNumberFormat="1" applyFont="1" applyFill="1" applyBorder="1" applyAlignment="1">
      <alignment horizontal="center" vertical="center"/>
    </xf>
    <xf numFmtId="172" fontId="15" fillId="7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8" fontId="2" fillId="3" borderId="25" xfId="0" applyNumberFormat="1" applyFont="1" applyFill="1" applyBorder="1" applyAlignment="1" applyProtection="1">
      <alignment horizontal="center" vertical="center"/>
      <protection locked="0"/>
    </xf>
    <xf numFmtId="178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0" fillId="9" borderId="27" xfId="0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89" fontId="2" fillId="7" borderId="25" xfId="0" applyNumberFormat="1" applyFont="1" applyFill="1" applyBorder="1" applyAlignment="1">
      <alignment horizontal="center" vertical="center"/>
    </xf>
    <xf numFmtId="0" fontId="31" fillId="6" borderId="2" xfId="2" applyFont="1" applyFill="1" applyBorder="1" applyAlignment="1" applyProtection="1">
      <alignment horizontal="center"/>
      <protection hidden="1"/>
    </xf>
    <xf numFmtId="178" fontId="31" fillId="5" borderId="2" xfId="2" applyNumberFormat="1" applyFont="1" applyFill="1" applyBorder="1" applyAlignment="1">
      <alignment horizontal="center"/>
    </xf>
    <xf numFmtId="177" fontId="2" fillId="4" borderId="25" xfId="2" applyNumberFormat="1" applyFont="1" applyFill="1" applyBorder="1" applyAlignment="1" applyProtection="1">
      <alignment horizontal="center"/>
      <protection locked="0"/>
    </xf>
    <xf numFmtId="0" fontId="2" fillId="10" borderId="28" xfId="2" applyFont="1" applyFill="1" applyBorder="1" applyAlignment="1" applyProtection="1">
      <alignment horizontal="center"/>
      <protection hidden="1"/>
    </xf>
    <xf numFmtId="0" fontId="2" fillId="10" borderId="29" xfId="2" applyFont="1" applyFill="1" applyBorder="1" applyAlignment="1" applyProtection="1">
      <alignment horizontal="center"/>
      <protection hidden="1"/>
    </xf>
    <xf numFmtId="0" fontId="33" fillId="10" borderId="30" xfId="2" applyFont="1" applyFill="1" applyBorder="1" applyAlignment="1" applyProtection="1">
      <alignment horizontal="center"/>
      <protection hidden="1"/>
    </xf>
    <xf numFmtId="0" fontId="0" fillId="0" borderId="10" xfId="0" applyBorder="1" applyAlignment="1">
      <alignment vertical="center"/>
    </xf>
    <xf numFmtId="0" fontId="15" fillId="0" borderId="10" xfId="2" applyFont="1" applyBorder="1"/>
    <xf numFmtId="0" fontId="15" fillId="0" borderId="31" xfId="2" applyFont="1" applyBorder="1" applyAlignment="1" applyProtection="1">
      <alignment horizontal="center"/>
      <protection hidden="1"/>
    </xf>
    <xf numFmtId="0" fontId="15" fillId="0" borderId="32" xfId="2" applyFont="1" applyBorder="1" applyAlignment="1">
      <alignment horizontal="center"/>
    </xf>
    <xf numFmtId="0" fontId="15" fillId="0" borderId="19" xfId="2" applyFont="1" applyBorder="1" applyAlignment="1" applyProtection="1">
      <alignment horizontal="center"/>
      <protection hidden="1"/>
    </xf>
    <xf numFmtId="0" fontId="15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hidden="1"/>
    </xf>
    <xf numFmtId="0" fontId="15" fillId="0" borderId="23" xfId="2" applyFont="1" applyBorder="1" applyAlignment="1">
      <alignment horizontal="center"/>
    </xf>
    <xf numFmtId="0" fontId="15" fillId="0" borderId="20" xfId="2" applyFont="1" applyBorder="1" applyAlignment="1" applyProtection="1">
      <alignment horizontal="center"/>
      <protection hidden="1"/>
    </xf>
    <xf numFmtId="0" fontId="15" fillId="0" borderId="23" xfId="2" applyFont="1" applyBorder="1" applyAlignment="1" applyProtection="1">
      <alignment horizontal="center"/>
      <protection hidden="1"/>
    </xf>
    <xf numFmtId="2" fontId="15" fillId="0" borderId="31" xfId="2" applyNumberFormat="1" applyFont="1" applyBorder="1" applyAlignment="1" applyProtection="1">
      <alignment horizontal="center"/>
      <protection hidden="1"/>
    </xf>
    <xf numFmtId="0" fontId="0" fillId="0" borderId="31" xfId="2" applyFont="1" applyBorder="1" applyAlignment="1" applyProtection="1">
      <alignment horizontal="center"/>
      <protection hidden="1"/>
    </xf>
    <xf numFmtId="0" fontId="0" fillId="0" borderId="33" xfId="2" applyFont="1" applyBorder="1" applyAlignment="1" applyProtection="1">
      <alignment horizontal="center"/>
      <protection hidden="1"/>
    </xf>
    <xf numFmtId="0" fontId="0" fillId="0" borderId="32" xfId="2" applyFont="1" applyBorder="1" applyAlignment="1" applyProtection="1">
      <alignment horizontal="center"/>
      <protection hidden="1"/>
    </xf>
    <xf numFmtId="0" fontId="0" fillId="0" borderId="19" xfId="2" applyFont="1" applyBorder="1" applyAlignment="1" applyProtection="1">
      <alignment horizontal="center"/>
      <protection hidden="1"/>
    </xf>
    <xf numFmtId="0" fontId="15" fillId="0" borderId="22" xfId="2" applyFont="1" applyBorder="1" applyAlignment="1" applyProtection="1">
      <alignment horizontal="center"/>
      <protection hidden="1"/>
    </xf>
    <xf numFmtId="1" fontId="15" fillId="0" borderId="33" xfId="2" applyNumberFormat="1" applyFont="1" applyBorder="1" applyAlignment="1" applyProtection="1">
      <alignment horizontal="center"/>
      <protection hidden="1"/>
    </xf>
    <xf numFmtId="1" fontId="8" fillId="0" borderId="32" xfId="2" applyNumberFormat="1" applyFont="1" applyBorder="1" applyAlignment="1" applyProtection="1">
      <alignment horizontal="center"/>
      <protection hidden="1"/>
    </xf>
    <xf numFmtId="1" fontId="8" fillId="0" borderId="20" xfId="2" applyNumberFormat="1" applyFont="1" applyBorder="1" applyAlignment="1" applyProtection="1">
      <alignment horizontal="center"/>
      <protection hidden="1"/>
    </xf>
    <xf numFmtId="1" fontId="15" fillId="0" borderId="22" xfId="2" applyNumberFormat="1" applyFont="1" applyBorder="1" applyAlignment="1" applyProtection="1">
      <alignment horizontal="center"/>
      <protection hidden="1"/>
    </xf>
    <xf numFmtId="1" fontId="8" fillId="0" borderId="23" xfId="2" applyNumberFormat="1" applyFont="1" applyBorder="1" applyAlignment="1" applyProtection="1">
      <alignment horizontal="center"/>
      <protection hidden="1"/>
    </xf>
    <xf numFmtId="0" fontId="15" fillId="0" borderId="33" xfId="2" applyFont="1" applyBorder="1" applyAlignment="1" applyProtection="1">
      <alignment horizontal="center"/>
      <protection hidden="1"/>
    </xf>
    <xf numFmtId="2" fontId="15" fillId="0" borderId="33" xfId="2" applyNumberFormat="1" applyFont="1" applyBorder="1" applyAlignment="1" applyProtection="1">
      <alignment horizontal="center"/>
      <protection hidden="1"/>
    </xf>
    <xf numFmtId="0" fontId="8" fillId="0" borderId="32" xfId="2" applyFont="1" applyBorder="1" applyAlignment="1" applyProtection="1">
      <alignment horizontal="center"/>
      <protection hidden="1"/>
    </xf>
    <xf numFmtId="0" fontId="8" fillId="0" borderId="20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1" fontId="15" fillId="0" borderId="32" xfId="2" applyNumberFormat="1" applyFont="1" applyBorder="1" applyAlignment="1" applyProtection="1">
      <alignment horizontal="center"/>
      <protection hidden="1"/>
    </xf>
    <xf numFmtId="1" fontId="15" fillId="0" borderId="20" xfId="2" applyNumberFormat="1" applyFont="1" applyBorder="1" applyAlignment="1" applyProtection="1">
      <alignment horizontal="center"/>
      <protection hidden="1"/>
    </xf>
    <xf numFmtId="1" fontId="15" fillId="0" borderId="23" xfId="2" applyNumberFormat="1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2" applyFont="1" applyBorder="1" applyAlignment="1" applyProtection="1">
      <alignment horizontal="center"/>
      <protection hidden="1"/>
    </xf>
    <xf numFmtId="165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5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190" fontId="2" fillId="4" borderId="2" xfId="2" applyNumberFormat="1" applyFont="1" applyFill="1" applyBorder="1" applyAlignment="1" applyProtection="1">
      <alignment horizontal="center"/>
      <protection locked="0"/>
    </xf>
    <xf numFmtId="0" fontId="0" fillId="0" borderId="0" xfId="2" applyFont="1"/>
    <xf numFmtId="0" fontId="27" fillId="6" borderId="2" xfId="2" applyFont="1" applyFill="1" applyBorder="1" applyAlignment="1" applyProtection="1">
      <alignment horizontal="center"/>
      <protection hidden="1"/>
    </xf>
    <xf numFmtId="18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2" fillId="11" borderId="18" xfId="1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33" xfId="0" applyFont="1" applyBorder="1"/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20" xfId="0" applyFont="1" applyBorder="1"/>
    <xf numFmtId="165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0" xfId="0" applyBorder="1"/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0" borderId="2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35" xfId="0" applyFont="1" applyBorder="1"/>
    <xf numFmtId="1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/>
    <xf numFmtId="0" fontId="27" fillId="0" borderId="13" xfId="0" applyFont="1" applyBorder="1" applyAlignment="1">
      <alignment horizontal="right" vertical="center"/>
    </xf>
    <xf numFmtId="0" fontId="27" fillId="0" borderId="13" xfId="2" applyFont="1" applyBorder="1" applyAlignment="1">
      <alignment horizontal="right"/>
    </xf>
    <xf numFmtId="2" fontId="0" fillId="16" borderId="31" xfId="0" applyNumberFormat="1" applyFill="1" applyBorder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9" fillId="0" borderId="0" xfId="0" applyNumberFormat="1" applyFont="1" applyAlignment="1">
      <alignment horizontal="left"/>
    </xf>
    <xf numFmtId="2" fontId="10" fillId="0" borderId="0" xfId="1" applyNumberFormat="1" applyAlignment="1">
      <alignment horizontal="left"/>
    </xf>
    <xf numFmtId="2" fontId="10" fillId="0" borderId="0" xfId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1" borderId="20" xfId="0" applyNumberFormat="1" applyFill="1" applyBorder="1" applyAlignment="1">
      <alignment horizontal="center"/>
    </xf>
    <xf numFmtId="2" fontId="0" fillId="21" borderId="23" xfId="0" applyNumberFormat="1" applyFill="1" applyBorder="1" applyAlignment="1">
      <alignment horizontal="center"/>
    </xf>
    <xf numFmtId="2" fontId="0" fillId="21" borderId="19" xfId="0" applyNumberFormat="1" applyFill="1" applyBorder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21" xfId="0" applyNumberForma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1" fontId="0" fillId="21" borderId="19" xfId="0" applyNumberFormat="1" applyFill="1" applyBorder="1" applyAlignment="1">
      <alignment horizontal="center"/>
    </xf>
    <xf numFmtId="2" fontId="0" fillId="21" borderId="26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0" fontId="0" fillId="21" borderId="19" xfId="0" applyFill="1" applyBorder="1"/>
    <xf numFmtId="0" fontId="0" fillId="21" borderId="0" xfId="0" applyFill="1"/>
    <xf numFmtId="0" fontId="0" fillId="21" borderId="20" xfId="0" applyFill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  <xf numFmtId="1" fontId="0" fillId="21" borderId="0" xfId="0" applyNumberFormat="1" applyFill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22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1" borderId="32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2" fontId="0" fillId="21" borderId="31" xfId="0" applyNumberForma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2" borderId="44" xfId="0" applyFill="1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8" fillId="22" borderId="36" xfId="0" applyFont="1" applyFill="1" applyBorder="1" applyAlignment="1">
      <alignment horizontal="center"/>
    </xf>
    <xf numFmtId="0" fontId="15" fillId="22" borderId="37" xfId="0" applyFont="1" applyFill="1" applyBorder="1" applyAlignment="1">
      <alignment horizontal="center"/>
    </xf>
    <xf numFmtId="2" fontId="0" fillId="23" borderId="19" xfId="0" applyNumberFormat="1" applyFill="1" applyBorder="1" applyAlignment="1">
      <alignment horizontal="center"/>
    </xf>
    <xf numFmtId="2" fontId="0" fillId="23" borderId="21" xfId="0" applyNumberForma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2" fontId="0" fillId="24" borderId="31" xfId="0" applyNumberFormat="1" applyFill="1" applyBorder="1" applyAlignment="1">
      <alignment horizontal="center"/>
    </xf>
    <xf numFmtId="2" fontId="0" fillId="24" borderId="33" xfId="0" applyNumberForma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184" fontId="0" fillId="25" borderId="11" xfId="0" applyNumberFormat="1" applyFill="1" applyBorder="1" applyAlignment="1">
      <alignment horizontal="center"/>
    </xf>
    <xf numFmtId="173" fontId="0" fillId="25" borderId="11" xfId="0" applyNumberForma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178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2" fillId="26" borderId="52" xfId="0" applyFont="1" applyFill="1" applyBorder="1" applyAlignment="1">
      <alignment horizontal="center"/>
    </xf>
    <xf numFmtId="0" fontId="0" fillId="26" borderId="54" xfId="0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0" fillId="25" borderId="59" xfId="0" applyFill="1" applyBorder="1" applyAlignment="1">
      <alignment horizontal="center"/>
    </xf>
    <xf numFmtId="0" fontId="0" fillId="25" borderId="6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0" xfId="0" applyFill="1" applyAlignment="1">
      <alignment horizontal="center"/>
    </xf>
    <xf numFmtId="183" fontId="0" fillId="25" borderId="58" xfId="0" applyNumberFormat="1" applyFill="1" applyBorder="1" applyAlignment="1">
      <alignment horizontal="center"/>
    </xf>
    <xf numFmtId="183" fontId="0" fillId="25" borderId="59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9" fontId="0" fillId="3" borderId="56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183" fontId="0" fillId="26" borderId="51" xfId="0" applyNumberFormat="1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62" xfId="0" applyFill="1" applyBorder="1" applyAlignment="1">
      <alignment horizontal="center"/>
    </xf>
    <xf numFmtId="183" fontId="0" fillId="25" borderId="60" xfId="0" applyNumberForma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43" fillId="0" borderId="0" xfId="2" applyFont="1"/>
    <xf numFmtId="0" fontId="43" fillId="27" borderId="2" xfId="2" applyFont="1" applyFill="1" applyBorder="1" applyAlignment="1" applyProtection="1">
      <alignment horizontal="center"/>
      <protection hidden="1"/>
    </xf>
    <xf numFmtId="177" fontId="44" fillId="5" borderId="2" xfId="2" applyNumberFormat="1" applyFont="1" applyFill="1" applyBorder="1" applyAlignment="1" applyProtection="1">
      <alignment horizontal="center"/>
      <protection hidden="1"/>
    </xf>
    <xf numFmtId="0" fontId="42" fillId="0" borderId="0" xfId="2" applyFont="1"/>
    <xf numFmtId="0" fontId="45" fillId="0" borderId="10" xfId="2" applyFont="1" applyBorder="1" applyAlignment="1">
      <alignment horizontal="right"/>
    </xf>
    <xf numFmtId="0" fontId="43" fillId="0" borderId="10" xfId="2" applyFont="1" applyBorder="1"/>
    <xf numFmtId="0" fontId="46" fillId="0" borderId="10" xfId="2" applyFont="1" applyBorder="1" applyAlignment="1">
      <alignment horizontal="left"/>
    </xf>
    <xf numFmtId="0" fontId="45" fillId="0" borderId="10" xfId="2" applyFont="1" applyBorder="1"/>
    <xf numFmtId="0" fontId="45" fillId="0" borderId="7" xfId="0" applyFont="1" applyBorder="1" applyAlignment="1">
      <alignment horizontal="right" vertical="center"/>
    </xf>
    <xf numFmtId="0" fontId="46" fillId="0" borderId="7" xfId="0" applyFon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93" fontId="0" fillId="3" borderId="11" xfId="0" applyNumberFormat="1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186" fontId="0" fillId="25" borderId="11" xfId="0" applyNumberFormat="1" applyFill="1" applyBorder="1" applyAlignment="1">
      <alignment horizontal="center"/>
    </xf>
    <xf numFmtId="176" fontId="30" fillId="5" borderId="24" xfId="2" applyNumberFormat="1" applyFont="1" applyFill="1" applyBorder="1" applyAlignment="1" applyProtection="1">
      <alignment horizontal="center"/>
      <protection hidden="1"/>
    </xf>
    <xf numFmtId="176" fontId="30" fillId="5" borderId="26" xfId="2" applyNumberFormat="1" applyFont="1" applyFill="1" applyBorder="1" applyAlignment="1" applyProtection="1">
      <alignment horizontal="center"/>
      <protection hidden="1"/>
    </xf>
    <xf numFmtId="176" fontId="30" fillId="5" borderId="25" xfId="2" applyNumberFormat="1" applyFont="1" applyFill="1" applyBorder="1" applyAlignment="1" applyProtection="1">
      <alignment horizontal="center"/>
      <protection hidden="1"/>
    </xf>
    <xf numFmtId="0" fontId="30" fillId="5" borderId="63" xfId="2" applyFont="1" applyFill="1" applyBorder="1" applyAlignment="1">
      <alignment horizontal="center"/>
    </xf>
    <xf numFmtId="0" fontId="30" fillId="5" borderId="20" xfId="2" applyFont="1" applyFill="1" applyBorder="1" applyAlignment="1">
      <alignment horizontal="center"/>
    </xf>
    <xf numFmtId="0" fontId="30" fillId="5" borderId="23" xfId="2" applyFont="1" applyFill="1" applyBorder="1" applyAlignment="1">
      <alignment horizontal="center"/>
    </xf>
    <xf numFmtId="176" fontId="30" fillId="5" borderId="63" xfId="2" applyNumberFormat="1" applyFont="1" applyFill="1" applyBorder="1" applyAlignment="1">
      <alignment horizontal="center"/>
    </xf>
    <xf numFmtId="196" fontId="30" fillId="5" borderId="63" xfId="2" applyNumberFormat="1" applyFont="1" applyFill="1" applyBorder="1" applyAlignment="1">
      <alignment horizontal="center"/>
    </xf>
    <xf numFmtId="196" fontId="30" fillId="5" borderId="20" xfId="2" applyNumberFormat="1" applyFont="1" applyFill="1" applyBorder="1" applyAlignment="1">
      <alignment horizontal="center"/>
    </xf>
    <xf numFmtId="196" fontId="30" fillId="5" borderId="23" xfId="2" applyNumberFormat="1" applyFont="1" applyFill="1" applyBorder="1" applyAlignment="1">
      <alignment horizontal="center"/>
    </xf>
    <xf numFmtId="174" fontId="30" fillId="5" borderId="63" xfId="2" applyNumberFormat="1" applyFont="1" applyFill="1" applyBorder="1" applyAlignment="1">
      <alignment horizontal="center"/>
    </xf>
    <xf numFmtId="174" fontId="30" fillId="5" borderId="20" xfId="2" applyNumberFormat="1" applyFont="1" applyFill="1" applyBorder="1" applyAlignment="1">
      <alignment horizontal="center"/>
    </xf>
    <xf numFmtId="174" fontId="30" fillId="5" borderId="23" xfId="2" applyNumberFormat="1" applyFont="1" applyFill="1" applyBorder="1" applyAlignment="1">
      <alignment horizontal="center"/>
    </xf>
    <xf numFmtId="167" fontId="30" fillId="5" borderId="63" xfId="2" applyNumberFormat="1" applyFont="1" applyFill="1" applyBorder="1" applyAlignment="1">
      <alignment horizontal="center"/>
    </xf>
    <xf numFmtId="167" fontId="30" fillId="5" borderId="20" xfId="2" applyNumberFormat="1" applyFont="1" applyFill="1" applyBorder="1" applyAlignment="1">
      <alignment horizontal="center"/>
    </xf>
    <xf numFmtId="167" fontId="30" fillId="5" borderId="23" xfId="2" applyNumberFormat="1" applyFont="1" applyFill="1" applyBorder="1" applyAlignment="1">
      <alignment horizontal="center"/>
    </xf>
    <xf numFmtId="170" fontId="30" fillId="5" borderId="63" xfId="2" applyNumberFormat="1" applyFont="1" applyFill="1" applyBorder="1" applyAlignment="1">
      <alignment horizontal="center"/>
    </xf>
    <xf numFmtId="170" fontId="30" fillId="5" borderId="20" xfId="2" applyNumberFormat="1" applyFont="1" applyFill="1" applyBorder="1" applyAlignment="1">
      <alignment horizontal="center"/>
    </xf>
    <xf numFmtId="170" fontId="30" fillId="5" borderId="23" xfId="2" applyNumberFormat="1" applyFont="1" applyFill="1" applyBorder="1" applyAlignment="1">
      <alignment horizont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197" fontId="30" fillId="5" borderId="24" xfId="2" applyNumberFormat="1" applyFont="1" applyFill="1" applyBorder="1" applyAlignment="1">
      <alignment horizontal="center"/>
    </xf>
    <xf numFmtId="197" fontId="30" fillId="5" borderId="26" xfId="2" applyNumberFormat="1" applyFont="1" applyFill="1" applyBorder="1" applyAlignment="1">
      <alignment horizontal="center"/>
    </xf>
    <xf numFmtId="197" fontId="30" fillId="5" borderId="25" xfId="2" applyNumberFormat="1" applyFont="1" applyFill="1" applyBorder="1" applyAlignment="1">
      <alignment horizontal="center"/>
    </xf>
    <xf numFmtId="0" fontId="42" fillId="0" borderId="0" xfId="2" applyFont="1" applyAlignment="1" applyProtection="1">
      <alignment horizontal="right"/>
      <protection hidden="1"/>
    </xf>
    <xf numFmtId="0" fontId="2" fillId="0" borderId="31" xfId="0" applyFont="1" applyBorder="1"/>
    <xf numFmtId="0" fontId="2" fillId="0" borderId="32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3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0" fontId="2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201" fontId="15" fillId="0" borderId="0" xfId="0" applyNumberFormat="1" applyFont="1"/>
    <xf numFmtId="191" fontId="0" fillId="0" borderId="0" xfId="0" applyNumberFormat="1"/>
    <xf numFmtId="192" fontId="0" fillId="0" borderId="0" xfId="0" applyNumberFormat="1"/>
    <xf numFmtId="0" fontId="40" fillId="0" borderId="0" xfId="0" applyFont="1"/>
    <xf numFmtId="192" fontId="2" fillId="30" borderId="32" xfId="0" applyNumberFormat="1" applyFont="1" applyFill="1" applyBorder="1" applyProtection="1">
      <protection locked="0"/>
    </xf>
    <xf numFmtId="198" fontId="2" fillId="0" borderId="23" xfId="0" applyNumberFormat="1" applyFont="1" applyBorder="1"/>
    <xf numFmtId="0" fontId="39" fillId="0" borderId="0" xfId="0" applyFont="1"/>
    <xf numFmtId="3" fontId="2" fillId="30" borderId="32" xfId="0" applyNumberFormat="1" applyFont="1" applyFill="1" applyBorder="1" applyAlignment="1">
      <alignment horizontal="center"/>
    </xf>
    <xf numFmtId="191" fontId="2" fillId="0" borderId="33" xfId="0" applyNumberFormat="1" applyFont="1" applyBorder="1" applyAlignment="1">
      <alignment horizontal="center"/>
    </xf>
    <xf numFmtId="192" fontId="2" fillId="0" borderId="32" xfId="0" applyNumberFormat="1" applyFont="1" applyBorder="1" applyAlignment="1">
      <alignment horizontal="center"/>
    </xf>
    <xf numFmtId="191" fontId="2" fillId="0" borderId="22" xfId="0" applyNumberFormat="1" applyFont="1" applyBorder="1" applyAlignment="1">
      <alignment horizontal="center"/>
    </xf>
    <xf numFmtId="192" fontId="2" fillId="0" borderId="23" xfId="0" applyNumberFormat="1" applyFont="1" applyBorder="1" applyAlignment="1">
      <alignment horizontal="center"/>
    </xf>
    <xf numFmtId="192" fontId="2" fillId="30" borderId="32" xfId="0" applyNumberFormat="1" applyFont="1" applyFill="1" applyBorder="1" applyAlignment="1" applyProtection="1">
      <alignment horizontal="center"/>
      <protection locked="0"/>
    </xf>
    <xf numFmtId="202" fontId="2" fillId="0" borderId="23" xfId="0" applyNumberFormat="1" applyFont="1" applyBorder="1" applyAlignment="1">
      <alignment horizontal="center"/>
    </xf>
    <xf numFmtId="201" fontId="2" fillId="0" borderId="23" xfId="0" applyNumberFormat="1" applyFont="1" applyBorder="1" applyAlignment="1">
      <alignment horizontal="center"/>
    </xf>
    <xf numFmtId="199" fontId="2" fillId="0" borderId="33" xfId="0" applyNumberFormat="1" applyFont="1" applyBorder="1" applyAlignment="1">
      <alignment horizontal="center"/>
    </xf>
    <xf numFmtId="200" fontId="2" fillId="0" borderId="32" xfId="0" applyNumberFormat="1" applyFont="1" applyBorder="1" applyAlignment="1">
      <alignment horizontal="center"/>
    </xf>
    <xf numFmtId="191" fontId="2" fillId="0" borderId="0" xfId="0" applyNumberFormat="1" applyFont="1" applyAlignment="1">
      <alignment horizontal="center"/>
    </xf>
    <xf numFmtId="192" fontId="2" fillId="0" borderId="20" xfId="0" applyNumberFormat="1" applyFont="1" applyBorder="1" applyAlignment="1">
      <alignment horizontal="center"/>
    </xf>
    <xf numFmtId="0" fontId="15" fillId="0" borderId="10" xfId="0" applyFont="1" applyBorder="1"/>
    <xf numFmtId="0" fontId="0" fillId="29" borderId="20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186" fontId="0" fillId="24" borderId="11" xfId="0" applyNumberFormat="1" applyFill="1" applyBorder="1" applyAlignment="1">
      <alignment horizontal="center"/>
    </xf>
    <xf numFmtId="203" fontId="0" fillId="24" borderId="11" xfId="0" applyNumberFormat="1" applyFill="1" applyBorder="1" applyAlignment="1">
      <alignment horizontal="center"/>
    </xf>
    <xf numFmtId="0" fontId="2" fillId="11" borderId="66" xfId="0" applyFont="1" applyFill="1" applyBorder="1" applyAlignment="1" applyProtection="1">
      <alignment horizontal="center" vertical="center"/>
      <protection hidden="1"/>
    </xf>
    <xf numFmtId="164" fontId="2" fillId="17" borderId="24" xfId="0" applyNumberFormat="1" applyFont="1" applyFill="1" applyBorder="1" applyAlignment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  <protection hidden="1"/>
    </xf>
    <xf numFmtId="17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28" borderId="2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9" borderId="25" xfId="0" applyFill="1" applyBorder="1" applyAlignment="1">
      <alignment horizontal="center"/>
    </xf>
    <xf numFmtId="0" fontId="1" fillId="0" borderId="0" xfId="2" applyProtection="1">
      <protection locked="0"/>
    </xf>
    <xf numFmtId="0" fontId="1" fillId="0" borderId="0" xfId="2"/>
    <xf numFmtId="0" fontId="33" fillId="0" borderId="0" xfId="2" applyFont="1"/>
    <xf numFmtId="186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30" borderId="2" xfId="0" applyFill="1" applyBorder="1" applyAlignment="1">
      <alignment vertical="center"/>
    </xf>
    <xf numFmtId="164" fontId="2" fillId="18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Alignment="1" applyProtection="1">
      <alignment horizontal="left"/>
      <protection hidden="1"/>
    </xf>
    <xf numFmtId="166" fontId="47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186" fontId="2" fillId="0" borderId="0" xfId="0" applyNumberFormat="1" applyFont="1" applyAlignment="1">
      <alignment horizontal="center" vertical="center"/>
    </xf>
    <xf numFmtId="204" fontId="2" fillId="32" borderId="2" xfId="0" applyNumberFormat="1" applyFont="1" applyFill="1" applyBorder="1" applyAlignment="1">
      <alignment horizontal="center" vertical="center"/>
    </xf>
    <xf numFmtId="175" fontId="0" fillId="7" borderId="46" xfId="0" applyNumberFormat="1" applyFill="1" applyBorder="1" applyAlignment="1">
      <alignment horizontal="center" vertical="center"/>
    </xf>
    <xf numFmtId="175" fontId="2" fillId="7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0" fontId="2" fillId="9" borderId="46" xfId="0" applyFont="1" applyFill="1" applyBorder="1" applyAlignment="1" applyProtection="1">
      <alignment horizontal="center" vertical="center"/>
      <protection hidden="1"/>
    </xf>
    <xf numFmtId="0" fontId="5" fillId="9" borderId="46" xfId="0" applyFont="1" applyFill="1" applyBorder="1" applyAlignment="1" applyProtection="1">
      <alignment horizontal="center" vertical="center"/>
      <protection hidden="1"/>
    </xf>
    <xf numFmtId="2" fontId="0" fillId="7" borderId="68" xfId="0" applyNumberFormat="1" applyFill="1" applyBorder="1" applyAlignment="1">
      <alignment horizontal="center" vertical="center"/>
    </xf>
    <xf numFmtId="187" fontId="2" fillId="7" borderId="68" xfId="0" applyNumberFormat="1" applyFon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188" fontId="2" fillId="7" borderId="70" xfId="0" applyNumberFormat="1" applyFont="1" applyFill="1" applyBorder="1" applyAlignment="1">
      <alignment horizontal="center" vertical="center"/>
    </xf>
    <xf numFmtId="165" fontId="0" fillId="7" borderId="71" xfId="0" applyNumberFormat="1" applyFill="1" applyBorder="1" applyAlignment="1">
      <alignment horizontal="center" vertical="center"/>
    </xf>
    <xf numFmtId="165" fontId="0" fillId="7" borderId="70" xfId="0" applyNumberFormat="1" applyFill="1" applyBorder="1" applyAlignment="1">
      <alignment horizontal="center" vertical="center"/>
    </xf>
    <xf numFmtId="186" fontId="0" fillId="7" borderId="43" xfId="0" applyNumberFormat="1" applyFill="1" applyBorder="1" applyAlignment="1">
      <alignment horizontal="center" vertical="center"/>
    </xf>
    <xf numFmtId="165" fontId="0" fillId="7" borderId="72" xfId="0" applyNumberFormat="1" applyFill="1" applyBorder="1" applyAlignment="1">
      <alignment horizontal="center" vertical="center"/>
    </xf>
    <xf numFmtId="166" fontId="2" fillId="27" borderId="14" xfId="0" applyNumberFormat="1" applyFont="1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187" fontId="0" fillId="7" borderId="73" xfId="0" applyNumberFormat="1" applyFill="1" applyBorder="1" applyAlignment="1">
      <alignment horizontal="center" vertical="center"/>
    </xf>
    <xf numFmtId="205" fontId="0" fillId="32" borderId="2" xfId="0" applyNumberFormat="1" applyFill="1" applyBorder="1" applyAlignment="1">
      <alignment horizontal="center" vertical="center"/>
    </xf>
    <xf numFmtId="206" fontId="15" fillId="0" borderId="0" xfId="2" applyNumberFormat="1" applyFont="1" applyProtection="1">
      <protection hidden="1"/>
    </xf>
    <xf numFmtId="175" fontId="2" fillId="0" borderId="0" xfId="2" applyNumberFormat="1" applyFont="1" applyProtection="1">
      <protection locked="0"/>
    </xf>
    <xf numFmtId="186" fontId="2" fillId="30" borderId="2" xfId="0" applyNumberFormat="1" applyFont="1" applyFill="1" applyBorder="1" applyAlignment="1">
      <alignment horizontal="center" vertical="center"/>
    </xf>
    <xf numFmtId="177" fontId="2" fillId="0" borderId="0" xfId="2" applyNumberFormat="1" applyFont="1"/>
    <xf numFmtId="170" fontId="2" fillId="33" borderId="25" xfId="0" applyNumberFormat="1" applyFont="1" applyFill="1" applyBorder="1" applyAlignment="1" applyProtection="1">
      <alignment horizontal="center" vertical="center"/>
      <protection locked="0"/>
    </xf>
    <xf numFmtId="165" fontId="2" fillId="5" borderId="34" xfId="2" applyNumberFormat="1" applyFont="1" applyFill="1" applyBorder="1" applyAlignment="1">
      <alignment horizontal="center"/>
    </xf>
    <xf numFmtId="178" fontId="14" fillId="5" borderId="34" xfId="2" applyNumberFormat="1" applyFont="1" applyFill="1" applyBorder="1"/>
    <xf numFmtId="179" fontId="29" fillId="5" borderId="24" xfId="2" applyNumberFormat="1" applyFont="1" applyFill="1" applyBorder="1" applyAlignment="1" applyProtection="1">
      <alignment horizontal="center" vertical="center"/>
      <protection hidden="1"/>
    </xf>
    <xf numFmtId="0" fontId="29" fillId="5" borderId="24" xfId="2" applyFont="1" applyFill="1" applyBorder="1" applyAlignment="1" applyProtection="1">
      <alignment horizontal="center" vertical="center"/>
      <protection hidden="1"/>
    </xf>
    <xf numFmtId="2" fontId="15" fillId="0" borderId="19" xfId="2" applyNumberFormat="1" applyFont="1" applyBorder="1" applyAlignment="1" applyProtection="1">
      <alignment horizontal="center"/>
      <protection hidden="1"/>
    </xf>
    <xf numFmtId="2" fontId="15" fillId="0" borderId="20" xfId="2" applyNumberFormat="1" applyFont="1" applyBorder="1" applyAlignment="1" applyProtection="1">
      <alignment horizontal="center"/>
      <protection hidden="1"/>
    </xf>
    <xf numFmtId="2" fontId="15" fillId="0" borderId="0" xfId="2" applyNumberFormat="1" applyFont="1" applyAlignment="1" applyProtection="1">
      <alignment horizontal="center"/>
      <protection hidden="1"/>
    </xf>
    <xf numFmtId="0" fontId="2" fillId="6" borderId="24" xfId="2" applyFont="1" applyFill="1" applyBorder="1" applyAlignment="1">
      <alignment vertical="center"/>
    </xf>
    <xf numFmtId="0" fontId="2" fillId="6" borderId="24" xfId="2" applyFont="1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" applyFont="1" applyFill="1" applyBorder="1" applyAlignment="1" applyProtection="1">
      <alignment horizontal="left"/>
      <protection hidden="1"/>
    </xf>
    <xf numFmtId="0" fontId="2" fillId="10" borderId="26" xfId="2" applyFont="1" applyFill="1" applyBorder="1" applyAlignment="1" applyProtection="1">
      <alignment horizontal="left"/>
      <protection hidden="1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vertical="top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10" borderId="2" xfId="2" applyFont="1" applyFill="1" applyBorder="1" applyAlignment="1" applyProtection="1">
      <alignment horizontal="center"/>
      <protection hidden="1"/>
    </xf>
    <xf numFmtId="0" fontId="30" fillId="6" borderId="2" xfId="2" applyFont="1" applyFill="1" applyBorder="1" applyAlignment="1">
      <alignment horizontal="center"/>
    </xf>
    <xf numFmtId="165" fontId="30" fillId="5" borderId="2" xfId="2" applyNumberFormat="1" applyFont="1" applyFill="1" applyBorder="1" applyAlignment="1">
      <alignment horizontal="center"/>
    </xf>
    <xf numFmtId="0" fontId="17" fillId="5" borderId="31" xfId="2" applyFont="1" applyFill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23" xfId="2" applyFont="1" applyFill="1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/>
      <protection locked="0"/>
    </xf>
    <xf numFmtId="0" fontId="2" fillId="4" borderId="8" xfId="2" applyFont="1" applyFill="1" applyBorder="1" applyAlignment="1" applyProtection="1">
      <alignment horizontal="center"/>
      <protection locked="0"/>
    </xf>
    <xf numFmtId="177" fontId="30" fillId="5" borderId="34" xfId="2" applyNumberFormat="1" applyFont="1" applyFill="1" applyBorder="1" applyAlignment="1" applyProtection="1">
      <alignment horizontal="center"/>
      <protection hidden="1"/>
    </xf>
    <xf numFmtId="177" fontId="30" fillId="5" borderId="14" xfId="2" applyNumberFormat="1" applyFont="1" applyFill="1" applyBorder="1" applyAlignment="1" applyProtection="1">
      <alignment horizontal="center"/>
      <protection hidden="1"/>
    </xf>
    <xf numFmtId="176" fontId="30" fillId="5" borderId="34" xfId="2" applyNumberFormat="1" applyFont="1" applyFill="1" applyBorder="1" applyAlignment="1" applyProtection="1">
      <alignment horizontal="center"/>
      <protection hidden="1"/>
    </xf>
    <xf numFmtId="176" fontId="30" fillId="5" borderId="14" xfId="2" applyNumberFormat="1" applyFont="1" applyFill="1" applyBorder="1" applyAlignment="1" applyProtection="1">
      <alignment horizontal="center"/>
      <protection hidden="1"/>
    </xf>
    <xf numFmtId="165" fontId="2" fillId="5" borderId="34" xfId="2" applyNumberFormat="1" applyFont="1" applyFill="1" applyBorder="1" applyAlignment="1">
      <alignment horizontal="center"/>
    </xf>
    <xf numFmtId="165" fontId="2" fillId="5" borderId="14" xfId="2" applyNumberFormat="1" applyFont="1" applyFill="1" applyBorder="1" applyAlignment="1">
      <alignment horizontal="center"/>
    </xf>
    <xf numFmtId="178" fontId="30" fillId="5" borderId="34" xfId="2" applyNumberFormat="1" applyFont="1" applyFill="1" applyBorder="1" applyAlignment="1">
      <alignment horizontal="center"/>
    </xf>
    <xf numFmtId="178" fontId="30" fillId="5" borderId="14" xfId="2" applyNumberFormat="1" applyFont="1" applyFill="1" applyBorder="1" applyAlignment="1">
      <alignment horizontal="center"/>
    </xf>
    <xf numFmtId="0" fontId="2" fillId="10" borderId="34" xfId="2" applyFont="1" applyFill="1" applyBorder="1" applyAlignment="1" applyProtection="1">
      <alignment horizontal="center"/>
      <protection hidden="1"/>
    </xf>
    <xf numFmtId="0" fontId="2" fillId="10" borderId="14" xfId="2" applyFont="1" applyFill="1" applyBorder="1" applyAlignment="1" applyProtection="1">
      <alignment horizontal="center"/>
      <protection hidden="1"/>
    </xf>
    <xf numFmtId="177" fontId="2" fillId="4" borderId="34" xfId="2" applyNumberFormat="1" applyFont="1" applyFill="1" applyBorder="1" applyAlignment="1" applyProtection="1">
      <alignment horizontal="center"/>
      <protection locked="0"/>
    </xf>
    <xf numFmtId="177" fontId="2" fillId="4" borderId="14" xfId="2" applyNumberFormat="1" applyFont="1" applyFill="1" applyBorder="1" applyAlignment="1" applyProtection="1">
      <alignment horizontal="center"/>
      <protection locked="0"/>
    </xf>
    <xf numFmtId="0" fontId="30" fillId="6" borderId="34" xfId="2" applyFont="1" applyFill="1" applyBorder="1" applyAlignment="1">
      <alignment horizontal="center"/>
    </xf>
    <xf numFmtId="0" fontId="30" fillId="6" borderId="14" xfId="2" applyFont="1" applyFill="1" applyBorder="1" applyAlignment="1">
      <alignment horizontal="center"/>
    </xf>
    <xf numFmtId="0" fontId="15" fillId="0" borderId="0" xfId="2" applyFont="1" applyAlignment="1" applyProtection="1">
      <alignment horizontal="center"/>
      <protection hidden="1"/>
    </xf>
    <xf numFmtId="0" fontId="27" fillId="6" borderId="34" xfId="2" applyFont="1" applyFill="1" applyBorder="1" applyAlignment="1" applyProtection="1">
      <alignment horizontal="center"/>
      <protection hidden="1"/>
    </xf>
    <xf numFmtId="0" fontId="27" fillId="6" borderId="14" xfId="2" applyFont="1" applyFill="1" applyBorder="1" applyAlignment="1" applyProtection="1">
      <alignment horizontal="center"/>
      <protection hidden="1"/>
    </xf>
    <xf numFmtId="0" fontId="2" fillId="4" borderId="21" xfId="2" applyFont="1" applyFill="1" applyBorder="1" applyAlignment="1" applyProtection="1">
      <alignment horizontal="center"/>
      <protection locked="0"/>
    </xf>
    <xf numFmtId="0" fontId="2" fillId="4" borderId="77" xfId="2" applyFont="1" applyFill="1" applyBorder="1" applyAlignment="1" applyProtection="1">
      <alignment horizontal="center"/>
      <protection locked="0"/>
    </xf>
    <xf numFmtId="0" fontId="3" fillId="19" borderId="0" xfId="2" applyFont="1" applyFill="1" applyAlignment="1">
      <alignment horizontal="center"/>
    </xf>
    <xf numFmtId="0" fontId="2" fillId="0" borderId="0" xfId="2" applyFont="1" applyAlignment="1" applyProtection="1">
      <alignment horizontal="center"/>
      <protection hidden="1"/>
    </xf>
    <xf numFmtId="178" fontId="30" fillId="5" borderId="2" xfId="2" applyNumberFormat="1" applyFont="1" applyFill="1" applyBorder="1" applyAlignment="1">
      <alignment horizontal="center"/>
    </xf>
    <xf numFmtId="0" fontId="2" fillId="10" borderId="78" xfId="2" applyFont="1" applyFill="1" applyBorder="1" applyAlignment="1" applyProtection="1">
      <alignment horizontal="center"/>
      <protection hidden="1"/>
    </xf>
    <xf numFmtId="0" fontId="2" fillId="10" borderId="79" xfId="2" applyFont="1" applyFill="1" applyBorder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75" xfId="2" applyFont="1" applyFill="1" applyBorder="1" applyAlignment="1" applyProtection="1">
      <alignment horizontal="center"/>
      <protection locked="0"/>
    </xf>
    <xf numFmtId="0" fontId="32" fillId="4" borderId="25" xfId="2" applyFont="1" applyFill="1" applyBorder="1" applyAlignment="1" applyProtection="1">
      <alignment horizontal="center" vertical="center"/>
      <protection locked="0"/>
    </xf>
    <xf numFmtId="0" fontId="32" fillId="4" borderId="2" xfId="2" applyFont="1" applyFill="1" applyBorder="1" applyAlignment="1" applyProtection="1">
      <alignment horizontal="center" vertical="center"/>
      <protection locked="0"/>
    </xf>
    <xf numFmtId="176" fontId="30" fillId="5" borderId="34" xfId="2" applyNumberFormat="1" applyFont="1" applyFill="1" applyBorder="1" applyAlignment="1">
      <alignment horizontal="center"/>
    </xf>
    <xf numFmtId="176" fontId="30" fillId="5" borderId="14" xfId="2" applyNumberFormat="1" applyFont="1" applyFill="1" applyBorder="1" applyAlignment="1">
      <alignment horizontal="center"/>
    </xf>
    <xf numFmtId="178" fontId="31" fillId="5" borderId="34" xfId="2" applyNumberFormat="1" applyFont="1" applyFill="1" applyBorder="1" applyAlignment="1">
      <alignment horizontal="center"/>
    </xf>
    <xf numFmtId="178" fontId="31" fillId="5" borderId="14" xfId="2" applyNumberFormat="1" applyFont="1" applyFill="1" applyBorder="1" applyAlignment="1">
      <alignment horizontal="center"/>
    </xf>
    <xf numFmtId="0" fontId="42" fillId="0" borderId="0" xfId="2" applyFont="1" applyAlignment="1">
      <alignment horizontal="center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80" xfId="2" applyFont="1" applyFill="1" applyBorder="1" applyAlignment="1" applyProtection="1">
      <alignment horizontal="center"/>
      <protection hidden="1"/>
    </xf>
    <xf numFmtId="0" fontId="2" fillId="10" borderId="81" xfId="2" applyFont="1" applyFill="1" applyBorder="1" applyAlignment="1" applyProtection="1">
      <alignment horizontal="center"/>
      <protection hidden="1"/>
    </xf>
    <xf numFmtId="0" fontId="42" fillId="4" borderId="25" xfId="2" applyFont="1" applyFill="1" applyBorder="1" applyAlignment="1" applyProtection="1">
      <alignment horizontal="center"/>
      <protection locked="0"/>
    </xf>
    <xf numFmtId="0" fontId="42" fillId="4" borderId="82" xfId="2" applyFont="1" applyFill="1" applyBorder="1" applyAlignment="1" applyProtection="1">
      <alignment horizontal="center"/>
      <protection locked="0"/>
    </xf>
    <xf numFmtId="165" fontId="30" fillId="5" borderId="34" xfId="2" applyNumberFormat="1" applyFont="1" applyFill="1" applyBorder="1" applyAlignment="1">
      <alignment horizontal="center"/>
    </xf>
    <xf numFmtId="165" fontId="30" fillId="5" borderId="14" xfId="2" applyNumberFormat="1" applyFont="1" applyFill="1" applyBorder="1" applyAlignment="1">
      <alignment horizontal="center"/>
    </xf>
    <xf numFmtId="0" fontId="2" fillId="10" borderId="83" xfId="2" applyFont="1" applyFill="1" applyBorder="1" applyAlignment="1" applyProtection="1">
      <alignment horizontal="center"/>
      <protection hidden="1"/>
    </xf>
    <xf numFmtId="0" fontId="2" fillId="10" borderId="84" xfId="2" applyFont="1" applyFill="1" applyBorder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20" fontId="2" fillId="4" borderId="34" xfId="2" applyNumberFormat="1" applyFont="1" applyFill="1" applyBorder="1" applyAlignment="1" applyProtection="1">
      <alignment horizontal="center"/>
      <protection locked="0"/>
    </xf>
    <xf numFmtId="20" fontId="2" fillId="4" borderId="75" xfId="2" applyNumberFormat="1" applyFont="1" applyFill="1" applyBorder="1" applyAlignment="1" applyProtection="1">
      <alignment horizontal="center"/>
      <protection locked="0"/>
    </xf>
    <xf numFmtId="0" fontId="42" fillId="0" borderId="76" xfId="2" applyFont="1" applyBorder="1" applyAlignment="1">
      <alignment horizontal="left"/>
    </xf>
    <xf numFmtId="0" fontId="3" fillId="20" borderId="0" xfId="0" applyFont="1" applyFill="1" applyAlignment="1">
      <alignment horizontal="center"/>
    </xf>
    <xf numFmtId="0" fontId="2" fillId="12" borderId="15" xfId="0" applyFont="1" applyFill="1" applyBorder="1" applyAlignment="1" applyProtection="1">
      <alignment horizontal="center"/>
      <protection hidden="1"/>
    </xf>
    <xf numFmtId="0" fontId="32" fillId="13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 vertical="center"/>
      <protection locked="0"/>
    </xf>
    <xf numFmtId="0" fontId="2" fillId="4" borderId="14" xfId="2" applyFont="1" applyFill="1" applyBorder="1" applyAlignment="1" applyProtection="1">
      <alignment horizontal="center" vertical="center"/>
      <protection locked="0"/>
    </xf>
    <xf numFmtId="0" fontId="14" fillId="8" borderId="85" xfId="0" applyFont="1" applyFill="1" applyBorder="1" applyAlignment="1" applyProtection="1">
      <alignment horizontal="center" vertical="center"/>
      <protection hidden="1"/>
    </xf>
    <xf numFmtId="0" fontId="14" fillId="8" borderId="43" xfId="0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 vertical="center"/>
      <protection locked="0"/>
    </xf>
    <xf numFmtId="0" fontId="2" fillId="12" borderId="66" xfId="0" applyFont="1" applyFill="1" applyBorder="1" applyAlignment="1" applyProtection="1">
      <alignment horizontal="center"/>
      <protection hidden="1"/>
    </xf>
    <xf numFmtId="0" fontId="2" fillId="12" borderId="86" xfId="0" applyFont="1" applyFill="1" applyBorder="1" applyAlignment="1" applyProtection="1">
      <alignment horizontal="center"/>
      <protection hidden="1"/>
    </xf>
    <xf numFmtId="0" fontId="11" fillId="8" borderId="87" xfId="0" applyFont="1" applyFill="1" applyBorder="1" applyAlignment="1" applyProtection="1">
      <alignment horizontal="center" vertical="center"/>
      <protection hidden="1"/>
    </xf>
    <xf numFmtId="0" fontId="11" fillId="8" borderId="68" xfId="0" applyFont="1" applyFill="1" applyBorder="1" applyAlignment="1" applyProtection="1">
      <alignment horizontal="center" vertical="center"/>
      <protection hidden="1"/>
    </xf>
    <xf numFmtId="0" fontId="12" fillId="8" borderId="88" xfId="0" applyFont="1" applyFill="1" applyBorder="1" applyAlignment="1" applyProtection="1">
      <alignment horizontal="center" vertical="center"/>
      <protection hidden="1"/>
    </xf>
    <xf numFmtId="0" fontId="12" fillId="8" borderId="16" xfId="0" applyFont="1" applyFill="1" applyBorder="1" applyAlignment="1" applyProtection="1">
      <alignment horizontal="center" vertical="center"/>
      <protection hidden="1"/>
    </xf>
    <xf numFmtId="0" fontId="11" fillId="8" borderId="89" xfId="0" applyFont="1" applyFill="1" applyBorder="1" applyAlignment="1" applyProtection="1">
      <alignment horizontal="center" vertical="center"/>
      <protection hidden="1"/>
    </xf>
    <xf numFmtId="0" fontId="11" fillId="8" borderId="15" xfId="0" applyFont="1" applyFill="1" applyBorder="1" applyAlignment="1" applyProtection="1">
      <alignment horizontal="center" vertical="center"/>
      <protection hidden="1"/>
    </xf>
    <xf numFmtId="0" fontId="38" fillId="8" borderId="90" xfId="0" applyFont="1" applyFill="1" applyBorder="1" applyAlignment="1" applyProtection="1">
      <alignment horizontal="center" vertical="center"/>
      <protection hidden="1"/>
    </xf>
    <xf numFmtId="0" fontId="38" fillId="8" borderId="91" xfId="0" applyFont="1" applyFill="1" applyBorder="1" applyAlignment="1" applyProtection="1">
      <alignment horizontal="center" vertical="center"/>
      <protection hidden="1"/>
    </xf>
    <xf numFmtId="0" fontId="2" fillId="13" borderId="92" xfId="0" applyFont="1" applyFill="1" applyBorder="1" applyAlignment="1" applyProtection="1">
      <alignment horizontal="center" vertical="center"/>
      <protection locked="0"/>
    </xf>
    <xf numFmtId="0" fontId="2" fillId="13" borderId="93" xfId="0" applyFont="1" applyFill="1" applyBorder="1" applyAlignment="1" applyProtection="1">
      <alignment horizontal="center" vertical="center"/>
      <protection locked="0"/>
    </xf>
    <xf numFmtId="164" fontId="2" fillId="13" borderId="46" xfId="0" applyNumberFormat="1" applyFont="1" applyFill="1" applyBorder="1" applyAlignment="1">
      <alignment horizontal="center" vertical="center"/>
    </xf>
    <xf numFmtId="168" fontId="2" fillId="13" borderId="15" xfId="0" applyNumberFormat="1" applyFont="1" applyFill="1" applyBorder="1" applyAlignment="1" applyProtection="1">
      <alignment horizontal="center" vertical="center"/>
      <protection locked="0"/>
    </xf>
    <xf numFmtId="167" fontId="2" fillId="13" borderId="15" xfId="0" applyNumberFormat="1" applyFont="1" applyFill="1" applyBorder="1" applyAlignment="1" applyProtection="1">
      <alignment horizontal="center" vertical="center"/>
      <protection locked="0"/>
    </xf>
    <xf numFmtId="0" fontId="2" fillId="13" borderId="94" xfId="0" applyFont="1" applyFill="1" applyBorder="1" applyAlignment="1">
      <alignment horizontal="center"/>
    </xf>
    <xf numFmtId="0" fontId="2" fillId="13" borderId="93" xfId="0" applyFont="1" applyFill="1" applyBorder="1" applyAlignment="1">
      <alignment horizontal="center"/>
    </xf>
    <xf numFmtId="166" fontId="2" fillId="17" borderId="46" xfId="0" applyNumberFormat="1" applyFont="1" applyFill="1" applyBorder="1" applyAlignment="1">
      <alignment horizontal="center" vertical="center"/>
    </xf>
    <xf numFmtId="0" fontId="38" fillId="8" borderId="95" xfId="0" applyFont="1" applyFill="1" applyBorder="1" applyAlignment="1" applyProtection="1">
      <alignment horizontal="center" vertical="center"/>
      <protection hidden="1"/>
    </xf>
    <xf numFmtId="0" fontId="38" fillId="8" borderId="96" xfId="0" applyFont="1" applyFill="1" applyBorder="1" applyAlignment="1" applyProtection="1">
      <alignment horizontal="center" vertical="center"/>
      <protection hidden="1"/>
    </xf>
    <xf numFmtId="0" fontId="2" fillId="8" borderId="97" xfId="0" applyFont="1" applyFill="1" applyBorder="1" applyAlignment="1" applyProtection="1">
      <alignment horizontal="center" vertical="center"/>
      <protection hidden="1"/>
    </xf>
    <xf numFmtId="0" fontId="38" fillId="8" borderId="98" xfId="0" applyFont="1" applyFill="1" applyBorder="1" applyAlignment="1" applyProtection="1">
      <alignment horizontal="center" vertical="center"/>
      <protection hidden="1"/>
    </xf>
    <xf numFmtId="0" fontId="14" fillId="8" borderId="15" xfId="0" applyFont="1" applyFill="1" applyBorder="1" applyAlignment="1" applyProtection="1">
      <alignment horizontal="center" vertical="center"/>
      <protection hidden="1"/>
    </xf>
    <xf numFmtId="0" fontId="12" fillId="8" borderId="17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30" borderId="21" xfId="0" applyFill="1" applyBorder="1" applyAlignment="1" applyProtection="1">
      <alignment horizontal="center"/>
      <protection locked="0"/>
    </xf>
    <xf numFmtId="0" fontId="0" fillId="30" borderId="23" xfId="0" applyFill="1" applyBorder="1" applyAlignment="1" applyProtection="1">
      <alignment horizontal="center"/>
      <protection locked="0"/>
    </xf>
    <xf numFmtId="0" fontId="0" fillId="30" borderId="19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0" borderId="19" xfId="0" applyFill="1" applyBorder="1" applyAlignment="1" applyProtection="1">
      <alignment horizontal="center"/>
      <protection locked="0"/>
    </xf>
    <xf numFmtId="0" fontId="0" fillId="30" borderId="20" xfId="0" applyFill="1" applyBorder="1" applyAlignment="1" applyProtection="1">
      <alignment horizontal="center"/>
      <protection locked="0"/>
    </xf>
    <xf numFmtId="0" fontId="0" fillId="0" borderId="33" xfId="0" applyBorder="1" applyAlignment="1">
      <alignment horizontal="center"/>
    </xf>
    <xf numFmtId="0" fontId="0" fillId="28" borderId="31" xfId="0" applyFill="1" applyBorder="1" applyAlignment="1">
      <alignment horizontal="center"/>
    </xf>
    <xf numFmtId="0" fontId="0" fillId="28" borderId="32" xfId="0" applyFill="1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30" borderId="21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2" fontId="0" fillId="22" borderId="53" xfId="0" applyNumberFormat="1" applyFill="1" applyBorder="1" applyAlignment="1">
      <alignment horizontal="center"/>
    </xf>
    <xf numFmtId="2" fontId="0" fillId="22" borderId="65" xfId="0" applyNumberFormat="1" applyFill="1" applyBorder="1" applyAlignment="1">
      <alignment horizontal="center"/>
    </xf>
    <xf numFmtId="2" fontId="0" fillId="22" borderId="11" xfId="0" applyNumberFormat="1" applyFill="1" applyBorder="1" applyAlignment="1">
      <alignment horizontal="center"/>
    </xf>
    <xf numFmtId="2" fontId="0" fillId="22" borderId="54" xfId="0" applyNumberFormat="1" applyFill="1" applyBorder="1" applyAlignment="1">
      <alignment horizontal="center"/>
    </xf>
    <xf numFmtId="0" fontId="0" fillId="22" borderId="99" xfId="0" applyFill="1" applyBorder="1" applyAlignment="1">
      <alignment horizontal="center"/>
    </xf>
    <xf numFmtId="0" fontId="0" fillId="22" borderId="100" xfId="0" applyFill="1" applyBorder="1" applyAlignment="1">
      <alignment horizontal="center"/>
    </xf>
    <xf numFmtId="0" fontId="0" fillId="22" borderId="101" xfId="0" applyFill="1" applyBorder="1" applyAlignment="1">
      <alignment horizontal="center"/>
    </xf>
    <xf numFmtId="2" fontId="0" fillId="22" borderId="52" xfId="0" applyNumberFormat="1" applyFill="1" applyBorder="1" applyAlignment="1">
      <alignment horizontal="center"/>
    </xf>
    <xf numFmtId="194" fontId="2" fillId="13" borderId="46" xfId="0" applyNumberFormat="1" applyFont="1" applyFill="1" applyBorder="1" applyAlignment="1">
      <alignment horizontal="center" vertical="center"/>
    </xf>
    <xf numFmtId="195" fontId="2" fillId="17" borderId="15" xfId="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2" fillId="0" borderId="22" xfId="0" applyNumberFormat="1" applyFont="1" applyBorder="1" applyAlignment="1">
      <alignment horizontal="center" vertical="center"/>
    </xf>
    <xf numFmtId="175" fontId="2" fillId="0" borderId="23" xfId="0" applyNumberFormat="1" applyFont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Normal 2" xfId="2" xr:uid="{84631061-BD5E-FA4B-A480-657850535639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  <dxf>
      <font>
        <color rgb="FFFF0000"/>
      </font>
    </dxf>
    <dxf>
      <font>
        <color rgb="FF808080"/>
      </font>
    </dxf>
    <dxf>
      <fill>
        <patternFill>
          <bgColor indexed="10"/>
        </patternFill>
      </fill>
    </dxf>
    <dxf>
      <fill>
        <patternFill patternType="solid">
          <fgColor indexed="53"/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color rgb="FFCCFFFF"/>
      </font>
    </dxf>
    <dxf>
      <font>
        <color rgb="FFCC6600"/>
      </font>
    </dxf>
    <dxf>
      <font>
        <color rgb="FFCC6600"/>
      </font>
    </dxf>
    <dxf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  <dxf>
      <font>
        <color rgb="FF99CCFF"/>
      </font>
    </dxf>
    <dxf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  <border>
        <right/>
        <top/>
        <bottom/>
      </border>
    </dxf>
    <dxf>
      <font>
        <color indexed="9"/>
      </font>
      <fill>
        <patternFill patternType="solid">
          <bgColor indexed="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right/>
        <bottom/>
      </border>
    </dxf>
    <dxf>
      <fill>
        <patternFill patternType="solid">
          <fgColor indexed="60"/>
          <bgColor indexed="10"/>
        </patternFill>
      </fill>
    </dxf>
    <dxf>
      <font>
        <color rgb="FFFFFF99"/>
        <name val="Cambria"/>
        <scheme val="none"/>
      </font>
    </dxf>
    <dxf>
      <font>
        <color rgb="FFFFCC99"/>
      </font>
    </dxf>
    <dxf>
      <font>
        <color rgb="FF808080"/>
      </font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rgb="FFFF0000"/>
      </font>
    </dxf>
    <dxf>
      <font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theme="1"/>
      </font>
    </dxf>
    <dxf>
      <font>
        <color rgb="FFCC6600"/>
      </font>
    </dxf>
    <dxf>
      <font>
        <color rgb="FFFF0000"/>
      </font>
    </dxf>
    <dxf>
      <font>
        <color rgb="FFCC6600"/>
      </font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970566137003713E-2"/>
          <c:y val="6.4690026954178165E-2"/>
          <c:w val="0.84871001627006726"/>
          <c:h val="0.90566037735849292"/>
        </c:manualLayout>
      </c:layout>
      <c:scatterChart>
        <c:scatterStyle val="lineMarker"/>
        <c:varyColors val="0"/>
        <c:ser>
          <c:idx val="0"/>
          <c:order val="0"/>
          <c:tx>
            <c:v>fuselage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Stabilito!$D$124:$D$131</c:f>
              <c:numCache>
                <c:formatCode>0</c:formatCode>
                <c:ptCount val="8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-200</c:v>
                </c:pt>
                <c:pt idx="1">
                  <c:v>-200</c:v>
                </c:pt>
                <c:pt idx="2">
                  <c:v>-900</c:v>
                </c:pt>
                <c:pt idx="3">
                  <c:v>-1050</c:v>
                </c:pt>
                <c:pt idx="4">
                  <c:v>-1900</c:v>
                </c:pt>
                <c:pt idx="5">
                  <c:v>-1950</c:v>
                </c:pt>
                <c:pt idx="6">
                  <c:v>-1950</c:v>
                </c:pt>
                <c:pt idx="7">
                  <c:v>-1950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E-8D4F-A848-A4470DE867AA}"/>
            </c:ext>
          </c:extLst>
        </c:ser>
        <c:ser>
          <c:idx val="1"/>
          <c:order val="1"/>
          <c:tx>
            <c:v>aileron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Stabilito!$D$132:$D$136</c:f>
              <c:numCache>
                <c:formatCode>0</c:formatCode>
                <c:ptCount val="5"/>
                <c:pt idx="0">
                  <c:v>42</c:v>
                </c:pt>
                <c:pt idx="1">
                  <c:v>182</c:v>
                </c:pt>
                <c:pt idx="2">
                  <c:v>182</c:v>
                </c:pt>
                <c:pt idx="3">
                  <c:v>42</c:v>
                </c:pt>
                <c:pt idx="4">
                  <c:v>42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-1780</c:v>
                </c:pt>
                <c:pt idx="1">
                  <c:v>-1820</c:v>
                </c:pt>
                <c:pt idx="2">
                  <c:v>-2010</c:v>
                </c:pt>
                <c:pt idx="3">
                  <c:v>-1950</c:v>
                </c:pt>
                <c:pt idx="4">
                  <c:v>-1780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E-8D4F-A848-A4470DE867AA}"/>
            </c:ext>
          </c:extLst>
        </c:ser>
        <c:ser>
          <c:idx val="2"/>
          <c:order val="2"/>
          <c:tx>
            <c:v>fuselage2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Stabilito!$E$124:$E$131</c:f>
              <c:numCache>
                <c:formatCode>0</c:formatCode>
                <c:ptCount val="8"/>
                <c:pt idx="0">
                  <c:v>0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-42</c:v>
                </c:pt>
                <c:pt idx="5">
                  <c:v>-42</c:v>
                </c:pt>
                <c:pt idx="6">
                  <c:v>-42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-200</c:v>
                </c:pt>
                <c:pt idx="1">
                  <c:v>-200</c:v>
                </c:pt>
                <c:pt idx="2">
                  <c:v>-900</c:v>
                </c:pt>
                <c:pt idx="3">
                  <c:v>-1050</c:v>
                </c:pt>
                <c:pt idx="4">
                  <c:v>-1900</c:v>
                </c:pt>
                <c:pt idx="5">
                  <c:v>-1950</c:v>
                </c:pt>
                <c:pt idx="6">
                  <c:v>-1950</c:v>
                </c:pt>
                <c:pt idx="7">
                  <c:v>-1950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E-8D4F-A848-A4470DE867AA}"/>
            </c:ext>
          </c:extLst>
        </c:ser>
        <c:ser>
          <c:idx val="3"/>
          <c:order val="3"/>
          <c:tx>
            <c:v>aileron2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Stabilito!$E$132:$E$136</c:f>
              <c:numCache>
                <c:formatCode>0</c:formatCode>
                <c:ptCount val="5"/>
                <c:pt idx="0">
                  <c:v>-42</c:v>
                </c:pt>
                <c:pt idx="1">
                  <c:v>-182</c:v>
                </c:pt>
                <c:pt idx="2">
                  <c:v>-182</c:v>
                </c:pt>
                <c:pt idx="3">
                  <c:v>-42</c:v>
                </c:pt>
                <c:pt idx="4">
                  <c:v>-42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-1780</c:v>
                </c:pt>
                <c:pt idx="1">
                  <c:v>-1820</c:v>
                </c:pt>
                <c:pt idx="2">
                  <c:v>-2010</c:v>
                </c:pt>
                <c:pt idx="3">
                  <c:v>-1950</c:v>
                </c:pt>
                <c:pt idx="4">
                  <c:v>-1780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5E-8D4F-A848-A4470DE867AA}"/>
            </c:ext>
          </c:extLst>
        </c:ser>
        <c:ser>
          <c:idx val="4"/>
          <c:order val="4"/>
          <c:tx>
            <c:strRef>
              <c:f>Stabilito!$B$12</c:f>
              <c:strCache>
                <c:ptCount val="1"/>
                <c:pt idx="0">
                  <c:v>Centre de Masse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Stabilito!$D$149:$D$150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Stabilito!$C$149:$C$150</c:f>
              <c:numCache>
                <c:formatCode>0</c:formatCode>
                <c:ptCount val="2"/>
                <c:pt idx="0">
                  <c:v>-1128.7014613778706</c:v>
                </c:pt>
                <c:pt idx="1">
                  <c:v>-1029.6983094928478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5E-8D4F-A848-A4470DE867AA}"/>
            </c:ext>
          </c:extLst>
        </c:ser>
        <c:ser>
          <c:idx val="5"/>
          <c:order val="5"/>
          <c:tx>
            <c:strRef>
              <c:f>Stabilito!$F$28</c:f>
              <c:strCache>
                <c:ptCount val="1"/>
                <c:pt idx="0">
                  <c:v>Portance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Stabilito!$D$151:$D$154</c:f>
              <c:numCache>
                <c:formatCode>0</c:formatCode>
                <c:ptCount val="4"/>
                <c:pt idx="0">
                  <c:v>0</c:v>
                </c:pt>
                <c:pt idx="1">
                  <c:v>170.16541700981773</c:v>
                </c:pt>
                <c:pt idx="2">
                  <c:v>214.80885066551156</c:v>
                </c:pt>
                <c:pt idx="3">
                  <c:v>0</c:v>
                </c:pt>
              </c:numCache>
            </c:numRef>
          </c:xVal>
          <c:yVal>
            <c:numRef>
              <c:f>Stabilito!$C$151:$C$154</c:f>
              <c:numCache>
                <c:formatCode>0</c:formatCode>
                <c:ptCount val="4"/>
                <c:pt idx="0">
                  <c:v>-1304.2213785636345</c:v>
                </c:pt>
                <c:pt idx="1">
                  <c:v>-1304.2213785636345</c:v>
                </c:pt>
                <c:pt idx="2">
                  <c:v>-1415.6627423619341</c:v>
                </c:pt>
                <c:pt idx="3">
                  <c:v>-1415.6627423619341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5E-8D4F-A848-A4470DE867AA}"/>
            </c:ext>
          </c:extLst>
        </c:ser>
        <c:ser>
          <c:idx val="6"/>
          <c:order val="6"/>
          <c:tx>
            <c:v>canard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Stabilito!$D$158:$D$162</c:f>
              <c:numCache>
                <c:formatCode>0</c:formatCode>
                <c:ptCount val="5"/>
                <c:pt idx="0">
                  <c:v>42</c:v>
                </c:pt>
                <c:pt idx="1">
                  <c:v>152</c:v>
                </c:pt>
                <c:pt idx="2">
                  <c:v>152</c:v>
                </c:pt>
                <c:pt idx="3">
                  <c:v>42</c:v>
                </c:pt>
                <c:pt idx="4">
                  <c:v>42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-720</c:v>
                </c:pt>
                <c:pt idx="1">
                  <c:v>-850</c:v>
                </c:pt>
                <c:pt idx="2">
                  <c:v>-920</c:v>
                </c:pt>
                <c:pt idx="3">
                  <c:v>-850</c:v>
                </c:pt>
                <c:pt idx="4">
                  <c:v>-720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5E-8D4F-A848-A4470DE867AA}"/>
            </c:ext>
          </c:extLst>
        </c:ser>
        <c:ser>
          <c:idx val="7"/>
          <c:order val="7"/>
          <c:tx>
            <c:v>canard2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Stabilito!$E$158:$E$162</c:f>
              <c:numCache>
                <c:formatCode>0</c:formatCode>
                <c:ptCount val="5"/>
                <c:pt idx="0">
                  <c:v>-42</c:v>
                </c:pt>
                <c:pt idx="1">
                  <c:v>-152</c:v>
                </c:pt>
                <c:pt idx="2">
                  <c:v>-152</c:v>
                </c:pt>
                <c:pt idx="3">
                  <c:v>-42</c:v>
                </c:pt>
                <c:pt idx="4">
                  <c:v>-42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-720</c:v>
                </c:pt>
                <c:pt idx="1">
                  <c:v>-850</c:v>
                </c:pt>
                <c:pt idx="2">
                  <c:v>-920</c:v>
                </c:pt>
                <c:pt idx="3">
                  <c:v>-850</c:v>
                </c:pt>
                <c:pt idx="4">
                  <c:v>-720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5E-8D4F-A848-A4470DE867AA}"/>
            </c:ext>
          </c:extLst>
        </c:ser>
        <c:ser>
          <c:idx val="8"/>
          <c:order val="8"/>
          <c:tx>
            <c:v>masquage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Stabilito!$D$163:$D$167</c:f>
              <c:numCache>
                <c:formatCode>0</c:formatCode>
                <c:ptCount val="5"/>
                <c:pt idx="0">
                  <c:v>42</c:v>
                </c:pt>
                <c:pt idx="1">
                  <c:v>152</c:v>
                </c:pt>
                <c:pt idx="2">
                  <c:v>152</c:v>
                </c:pt>
                <c:pt idx="3">
                  <c:v>42</c:v>
                </c:pt>
                <c:pt idx="4">
                  <c:v>42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-1780</c:v>
                </c:pt>
                <c:pt idx="1">
                  <c:v>-1811.4285714285713</c:v>
                </c:pt>
                <c:pt idx="2">
                  <c:v>-1997.1428571428571</c:v>
                </c:pt>
                <c:pt idx="3">
                  <c:v>-1950</c:v>
                </c:pt>
                <c:pt idx="4">
                  <c:v>-1780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5E-8D4F-A848-A4470DE867AA}"/>
            </c:ext>
          </c:extLst>
        </c:ser>
        <c:ser>
          <c:idx val="9"/>
          <c:order val="9"/>
          <c:tx>
            <c:v>masquage2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Stabilito!$E$163:$E$167</c:f>
              <c:numCache>
                <c:formatCode>0</c:formatCode>
                <c:ptCount val="5"/>
                <c:pt idx="0">
                  <c:v>-42</c:v>
                </c:pt>
                <c:pt idx="1">
                  <c:v>-152</c:v>
                </c:pt>
                <c:pt idx="2">
                  <c:v>-152</c:v>
                </c:pt>
                <c:pt idx="3">
                  <c:v>-42</c:v>
                </c:pt>
                <c:pt idx="4">
                  <c:v>-42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-1780</c:v>
                </c:pt>
                <c:pt idx="1">
                  <c:v>-1811.4285714285713</c:v>
                </c:pt>
                <c:pt idx="2">
                  <c:v>-1997.1428571428571</c:v>
                </c:pt>
                <c:pt idx="3">
                  <c:v>-1950</c:v>
                </c:pt>
                <c:pt idx="4">
                  <c:v>-1780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5E-8D4F-A848-A4470DE867AA}"/>
            </c:ext>
          </c:extLst>
        </c:ser>
        <c:ser>
          <c:idx val="10"/>
          <c:order val="10"/>
          <c:tx>
            <c:v>cadre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Stabilito!$D$168:$D$169</c:f>
              <c:numCache>
                <c:formatCode>0</c:formatCode>
                <c:ptCount val="2"/>
                <c:pt idx="0">
                  <c:v>650</c:v>
                </c:pt>
                <c:pt idx="1">
                  <c:v>-650</c:v>
                </c:pt>
              </c:numCache>
            </c:numRef>
          </c:xVal>
          <c:yVal>
            <c:numRef>
              <c:f>Stabilito!$C$168:$C$169</c:f>
              <c:numCache>
                <c:formatCode>0</c:formatCode>
                <c:ptCount val="2"/>
                <c:pt idx="0">
                  <c:v>-2030.1</c:v>
                </c:pt>
                <c:pt idx="1">
                  <c:v>-2030.1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5E-8D4F-A848-A4470DE867AA}"/>
            </c:ext>
          </c:extLst>
        </c:ser>
        <c:ser>
          <c:idx val="11"/>
          <c:order val="11"/>
          <c:tx>
            <c:v>Propu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Stabilito!$D$170:$D$174</c:f>
              <c:numCache>
                <c:formatCode>0</c:formatCode>
                <c:ptCount val="5"/>
                <c:pt idx="0">
                  <c:v>-27</c:v>
                </c:pt>
                <c:pt idx="1">
                  <c:v>27</c:v>
                </c:pt>
                <c:pt idx="2">
                  <c:v>27</c:v>
                </c:pt>
                <c:pt idx="3">
                  <c:v>-27</c:v>
                </c:pt>
                <c:pt idx="4">
                  <c:v>-27</c:v>
                </c:pt>
              </c:numCache>
            </c:numRef>
          </c:xVal>
          <c:yVal>
            <c:numRef>
              <c:f>Stabilito!$C$170:$C$174</c:f>
              <c:numCache>
                <c:formatCode>0</c:formatCode>
                <c:ptCount val="5"/>
                <c:pt idx="0">
                  <c:v>-1462</c:v>
                </c:pt>
                <c:pt idx="1">
                  <c:v>-1462</c:v>
                </c:pt>
                <c:pt idx="2">
                  <c:v>-1950</c:v>
                </c:pt>
                <c:pt idx="3">
                  <c:v>-1950</c:v>
                </c:pt>
                <c:pt idx="4">
                  <c:v>-1462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5E-8D4F-A848-A4470DE867AA}"/>
            </c:ext>
          </c:extLst>
        </c:ser>
        <c:ser>
          <c:idx val="12"/>
          <c:order val="12"/>
          <c:tx>
            <c:v>Cone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Stabilito!$D$175:$D$180</c:f>
              <c:numCache>
                <c:formatCode>0</c:formatCode>
                <c:ptCount val="6"/>
                <c:pt idx="0">
                  <c:v>0</c:v>
                </c:pt>
                <c:pt idx="1">
                  <c:v>4.2</c:v>
                </c:pt>
                <c:pt idx="2">
                  <c:v>10.5</c:v>
                </c:pt>
                <c:pt idx="3">
                  <c:v>21</c:v>
                </c:pt>
                <c:pt idx="4">
                  <c:v>31.5</c:v>
                </c:pt>
                <c:pt idx="5">
                  <c:v>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-20</c:v>
                </c:pt>
                <c:pt idx="2">
                  <c:v>-50</c:v>
                </c:pt>
                <c:pt idx="3">
                  <c:v>-100</c:v>
                </c:pt>
                <c:pt idx="4">
                  <c:v>-150</c:v>
                </c:pt>
                <c:pt idx="5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5E-8D4F-A848-A4470DE867AA}"/>
            </c:ext>
          </c:extLst>
        </c:ser>
        <c:ser>
          <c:idx val="13"/>
          <c:order val="13"/>
          <c:tx>
            <c:v>Cone1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Stabilito!$E$175:$E$180</c:f>
              <c:numCache>
                <c:formatCode>0</c:formatCode>
                <c:ptCount val="6"/>
                <c:pt idx="0">
                  <c:v>0</c:v>
                </c:pt>
                <c:pt idx="1">
                  <c:v>-4.2</c:v>
                </c:pt>
                <c:pt idx="2">
                  <c:v>-10.5</c:v>
                </c:pt>
                <c:pt idx="3">
                  <c:v>-21</c:v>
                </c:pt>
                <c:pt idx="4">
                  <c:v>-31.5</c:v>
                </c:pt>
                <c:pt idx="5">
                  <c:v>-42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-20</c:v>
                </c:pt>
                <c:pt idx="2">
                  <c:v>-50</c:v>
                </c:pt>
                <c:pt idx="3">
                  <c:v>-100</c:v>
                </c:pt>
                <c:pt idx="4">
                  <c:v>-150</c:v>
                </c:pt>
                <c:pt idx="5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5E-8D4F-A848-A4470DE867AA}"/>
            </c:ext>
          </c:extLst>
        </c:ser>
        <c:ser>
          <c:idx val="14"/>
          <c:order val="14"/>
          <c:tx>
            <c:strRef>
              <c:f>Stabilito!$B$137</c:f>
              <c:strCache>
                <c:ptCount val="1"/>
                <c:pt idx="0">
                  <c:v>Envergure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Stabilito!$D$137:$D$139</c:f>
              <c:numCache>
                <c:formatCode>0</c:formatCode>
                <c:ptCount val="3"/>
                <c:pt idx="0">
                  <c:v>-182</c:v>
                </c:pt>
                <c:pt idx="1">
                  <c:v>-112</c:v>
                </c:pt>
                <c:pt idx="2">
                  <c:v>-42</c:v>
                </c:pt>
              </c:numCache>
            </c:numRef>
          </c:xVal>
          <c:yVal>
            <c:numRef>
              <c:f>Stabilito!$C$137:$C$139</c:f>
              <c:numCache>
                <c:formatCode>0</c:formatCode>
                <c:ptCount val="3"/>
                <c:pt idx="0">
                  <c:v>-2075</c:v>
                </c:pt>
                <c:pt idx="1">
                  <c:v>-2075</c:v>
                </c:pt>
                <c:pt idx="2">
                  <c:v>-2075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C5E-8D4F-A848-A4470DE867AA}"/>
            </c:ext>
          </c:extLst>
        </c:ser>
        <c:ser>
          <c:idx val="15"/>
          <c:order val="15"/>
          <c:tx>
            <c:strRef>
              <c:f>Stabilito!$B$143</c:f>
              <c:strCache>
                <c:ptCount val="1"/>
                <c:pt idx="0">
                  <c:v>Flèche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Stabilito!$D$143:$D$145</c:f>
              <c:numCache>
                <c:formatCode>0</c:formatCode>
                <c:ptCount val="3"/>
                <c:pt idx="0">
                  <c:v>-247</c:v>
                </c:pt>
                <c:pt idx="1">
                  <c:v>-247</c:v>
                </c:pt>
                <c:pt idx="2">
                  <c:v>-247</c:v>
                </c:pt>
              </c:numCache>
            </c:numRef>
          </c:xVal>
          <c:yVal>
            <c:numRef>
              <c:f>Stabilito!$C$143:$C$145</c:f>
              <c:numCache>
                <c:formatCode>0</c:formatCode>
                <c:ptCount val="3"/>
                <c:pt idx="0">
                  <c:v>-1780</c:v>
                </c:pt>
                <c:pt idx="1">
                  <c:v>-1800</c:v>
                </c:pt>
                <c:pt idx="2">
                  <c:v>-1820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C5E-8D4F-A848-A4470DE867AA}"/>
            </c:ext>
          </c:extLst>
        </c:ser>
        <c:ser>
          <c:idx val="16"/>
          <c:order val="16"/>
          <c:tx>
            <c:strRef>
              <c:f>Stabilito!$B$146</c:f>
              <c:strCache>
                <c:ptCount val="1"/>
                <c:pt idx="0">
                  <c:v>Saumon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Stabilito!$D$146:$D$148</c:f>
              <c:numCache>
                <c:formatCode>0</c:formatCode>
                <c:ptCount val="3"/>
                <c:pt idx="0">
                  <c:v>-279.5</c:v>
                </c:pt>
                <c:pt idx="1">
                  <c:v>-279.5</c:v>
                </c:pt>
                <c:pt idx="2">
                  <c:v>-279.5</c:v>
                </c:pt>
              </c:numCache>
            </c:numRef>
          </c:xVal>
          <c:yVal>
            <c:numRef>
              <c:f>Stabilito!$C$146:$C$148</c:f>
              <c:numCache>
                <c:formatCode>0</c:formatCode>
                <c:ptCount val="3"/>
                <c:pt idx="0">
                  <c:v>-1820</c:v>
                </c:pt>
                <c:pt idx="1">
                  <c:v>-1915</c:v>
                </c:pt>
                <c:pt idx="2">
                  <c:v>-2010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C5E-8D4F-A848-A4470DE867AA}"/>
            </c:ext>
          </c:extLst>
        </c:ser>
        <c:ser>
          <c:idx val="17"/>
          <c:order val="17"/>
          <c:tx>
            <c:strRef>
              <c:f>Stabilito!$B$140</c:f>
              <c:strCache>
                <c:ptCount val="1"/>
                <c:pt idx="0">
                  <c:v>Emplanture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Stabilito!$D$140:$D$142</c:f>
              <c:numCache>
                <c:formatCode>0</c:formatCode>
                <c:ptCount val="3"/>
                <c:pt idx="0">
                  <c:v>279.5</c:v>
                </c:pt>
                <c:pt idx="1">
                  <c:v>279.5</c:v>
                </c:pt>
                <c:pt idx="2">
                  <c:v>279.5</c:v>
                </c:pt>
              </c:numCache>
            </c:numRef>
          </c:xVal>
          <c:yVal>
            <c:numRef>
              <c:f>Stabilito!$C$140:$C$142</c:f>
              <c:numCache>
                <c:formatCode>0</c:formatCode>
                <c:ptCount val="3"/>
                <c:pt idx="0">
                  <c:v>-1780</c:v>
                </c:pt>
                <c:pt idx="1">
                  <c:v>-1865</c:v>
                </c:pt>
                <c:pt idx="2">
                  <c:v>-1950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C5E-8D4F-A848-A4470DE867AA}"/>
            </c:ext>
          </c:extLst>
        </c:ser>
        <c:ser>
          <c:idx val="18"/>
          <c:order val="18"/>
          <c:tx>
            <c:strRef>
              <c:f>Stabilito!$B$155</c:f>
              <c:strCache>
                <c:ptCount val="1"/>
                <c:pt idx="0">
                  <c:v>Marge Statique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Stabilito!$D$155:$D$157</c:f>
              <c:numCache>
                <c:formatCode>0</c:formatCode>
                <c:ptCount val="3"/>
                <c:pt idx="0">
                  <c:v>-279.5</c:v>
                </c:pt>
                <c:pt idx="1">
                  <c:v>-279.5</c:v>
                </c:pt>
                <c:pt idx="2">
                  <c:v>-279.5</c:v>
                </c:pt>
              </c:numCache>
            </c:numRef>
          </c:xVal>
          <c:yVal>
            <c:numRef>
              <c:f>Stabilito!$C$155:$C$157</c:f>
              <c:numCache>
                <c:formatCode>0</c:formatCode>
                <c:ptCount val="3"/>
                <c:pt idx="0">
                  <c:v>-1079.1998854353592</c:v>
                </c:pt>
                <c:pt idx="1">
                  <c:v>-1191.7106319994969</c:v>
                </c:pt>
                <c:pt idx="2">
                  <c:v>-1304.2213785636345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C5E-8D4F-A848-A4470DE8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55984"/>
        <c:axId val="1"/>
      </c:scatterChart>
      <c:valAx>
        <c:axId val="1806155984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max"/>
        <c:crossBetween val="midCat"/>
      </c:valAx>
      <c:valAx>
        <c:axId val="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155984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Abaco!$B$75</c:f>
          <c:strCache>
            <c:ptCount val="1"/>
            <c:pt idx="0">
              <c:v>Vitesse max / Masse totale</c:v>
            </c:pt>
          </c:strCache>
        </c:strRef>
      </c:tx>
      <c:layout>
        <c:manualLayout>
          <c:xMode val="edge"/>
          <c:yMode val="edge"/>
          <c:x val="0.32580555555555557"/>
          <c:y val="3.2407484861159096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54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3.06</c:v>
                </c:pt>
                <c:pt idx="2">
                  <c:v>4.4350000000000005</c:v>
                </c:pt>
                <c:pt idx="3">
                  <c:v>5.8100000000000005</c:v>
                </c:pt>
                <c:pt idx="4">
                  <c:v>7.1850000000000005</c:v>
                </c:pt>
                <c:pt idx="5">
                  <c:v>8.56</c:v>
                </c:pt>
                <c:pt idx="6">
                  <c:v>9.9350000000000005</c:v>
                </c:pt>
                <c:pt idx="7">
                  <c:v>11.31</c:v>
                </c:pt>
                <c:pt idx="8">
                  <c:v>12.685</c:v>
                </c:pt>
              </c:numCache>
            </c:numRef>
          </c:xVal>
          <c:yVal>
            <c:numRef>
              <c:f>Abaco!$K$41:$K$49</c:f>
              <c:numCache>
                <c:formatCode>General" m/s"</c:formatCode>
                <c:ptCount val="9"/>
                <c:pt idx="0">
                  <c:v>793.5341125462329</c:v>
                </c:pt>
                <c:pt idx="1">
                  <c:v>600.39750041714365</c:v>
                </c:pt>
                <c:pt idx="2">
                  <c:v>436.43817898574616</c:v>
                </c:pt>
                <c:pt idx="3">
                  <c:v>331.61288192950559</c:v>
                </c:pt>
                <c:pt idx="4">
                  <c:v>262.69181889817185</c:v>
                </c:pt>
                <c:pt idx="5">
                  <c:v>214.78412913949123</c:v>
                </c:pt>
                <c:pt idx="6">
                  <c:v>179.81607222024107</c:v>
                </c:pt>
                <c:pt idx="7">
                  <c:v>153.26932539120537</c:v>
                </c:pt>
                <c:pt idx="8">
                  <c:v>132.47236768014622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A-1547-920C-707F56EFF605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3.06</c:v>
                </c:pt>
                <c:pt idx="2">
                  <c:v>4.4350000000000005</c:v>
                </c:pt>
                <c:pt idx="3">
                  <c:v>5.8100000000000005</c:v>
                </c:pt>
                <c:pt idx="4">
                  <c:v>7.1850000000000005</c:v>
                </c:pt>
                <c:pt idx="5">
                  <c:v>8.56</c:v>
                </c:pt>
                <c:pt idx="6">
                  <c:v>9.9350000000000005</c:v>
                </c:pt>
                <c:pt idx="7">
                  <c:v>11.31</c:v>
                </c:pt>
                <c:pt idx="8">
                  <c:v>12.685</c:v>
                </c:pt>
              </c:numCache>
            </c:numRef>
          </c:xVal>
          <c:yVal>
            <c:numRef>
              <c:f>Abaco!$K$50:$K$58</c:f>
              <c:numCache>
                <c:formatCode>General" m/s"</c:formatCode>
                <c:ptCount val="9"/>
                <c:pt idx="0">
                  <c:v>523.7965134225243</c:v>
                </c:pt>
                <c:pt idx="1">
                  <c:v>468.91056956028405</c:v>
                </c:pt>
                <c:pt idx="2">
                  <c:v>380.58133522874414</c:v>
                </c:pt>
                <c:pt idx="3">
                  <c:v>305.44770282135431</c:v>
                </c:pt>
                <c:pt idx="4">
                  <c:v>249.04700740283624</c:v>
                </c:pt>
                <c:pt idx="5">
                  <c:v>207.02540700486978</c:v>
                </c:pt>
                <c:pt idx="6">
                  <c:v>175.09895346701828</c:v>
                </c:pt>
                <c:pt idx="7">
                  <c:v>150.24839497944615</c:v>
                </c:pt>
                <c:pt idx="8">
                  <c:v>130.45679481919603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A-1547-920C-707F56EFF605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3.06</c:v>
                </c:pt>
                <c:pt idx="2">
                  <c:v>4.4350000000000005</c:v>
                </c:pt>
                <c:pt idx="3">
                  <c:v>5.8100000000000005</c:v>
                </c:pt>
                <c:pt idx="4">
                  <c:v>7.1850000000000005</c:v>
                </c:pt>
                <c:pt idx="5">
                  <c:v>8.56</c:v>
                </c:pt>
                <c:pt idx="6">
                  <c:v>9.9350000000000005</c:v>
                </c:pt>
                <c:pt idx="7">
                  <c:v>11.31</c:v>
                </c:pt>
                <c:pt idx="8">
                  <c:v>12.685</c:v>
                </c:pt>
              </c:numCache>
            </c:numRef>
          </c:xVal>
          <c:yVal>
            <c:numRef>
              <c:f>Abaco!$K$59:$K$67</c:f>
              <c:numCache>
                <c:formatCode>General" m/s"</c:formatCode>
                <c:ptCount val="9"/>
                <c:pt idx="0">
                  <c:v>350.13832937528468</c:v>
                </c:pt>
                <c:pt idx="1">
                  <c:v>338.1539666185422</c:v>
                </c:pt>
                <c:pt idx="2">
                  <c:v>304.95696481778185</c:v>
                </c:pt>
                <c:pt idx="3">
                  <c:v>263.50649837531955</c:v>
                </c:pt>
                <c:pt idx="4">
                  <c:v>224.99769482230013</c:v>
                </c:pt>
                <c:pt idx="5">
                  <c:v>192.55305635583045</c:v>
                </c:pt>
                <c:pt idx="6">
                  <c:v>165.9787543048632</c:v>
                </c:pt>
                <c:pt idx="7">
                  <c:v>144.26661311901671</c:v>
                </c:pt>
                <c:pt idx="8">
                  <c:v>126.39917118949968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A-1547-920C-707F56EF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15968"/>
        <c:axId val="1"/>
      </c:scatterChart>
      <c:valAx>
        <c:axId val="1764915968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35"/>
              <c:y val="0.80923605680929611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Abaco!$B$74</c:f>
              <c:strCache>
                <c:ptCount val="1"/>
                <c:pt idx="0">
                  <c:v>Vitesse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22378207343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/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1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79253351905304"/>
          <c:y val="0.19266706401523412"/>
          <c:w val="0.19231382461027713"/>
          <c:h val="0.2477147965910152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Abaco!$B$77</c:f>
          <c:strCache>
            <c:ptCount val="1"/>
            <c:pt idx="0">
              <c:v>Altitude max / Masse totale</c:v>
            </c:pt>
          </c:strCache>
        </c:strRef>
      </c:tx>
      <c:layout>
        <c:manualLayout>
          <c:xMode val="edge"/>
          <c:yMode val="edge"/>
          <c:x val="0.32580555555555557"/>
          <c:y val="3.2407517456544348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54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3.06</c:v>
                </c:pt>
                <c:pt idx="2">
                  <c:v>4.4350000000000005</c:v>
                </c:pt>
                <c:pt idx="3">
                  <c:v>5.8100000000000005</c:v>
                </c:pt>
                <c:pt idx="4">
                  <c:v>7.1850000000000005</c:v>
                </c:pt>
                <c:pt idx="5">
                  <c:v>8.56</c:v>
                </c:pt>
                <c:pt idx="6">
                  <c:v>9.9350000000000005</c:v>
                </c:pt>
                <c:pt idx="7">
                  <c:v>11.31</c:v>
                </c:pt>
                <c:pt idx="8">
                  <c:v>12.685</c:v>
                </c:pt>
              </c:numCache>
            </c:numRef>
          </c:xVal>
          <c:yVal>
            <c:numRef>
              <c:f>Abaco!$L$41:$L$49</c:f>
              <c:numCache>
                <c:formatCode>General" m"</c:formatCode>
                <c:ptCount val="9"/>
                <c:pt idx="0">
                  <c:v>3706.6765556662222</c:v>
                </c:pt>
                <c:pt idx="1">
                  <c:v>4575.3610882699868</c:v>
                </c:pt>
                <c:pt idx="2">
                  <c:v>4383.2464256851526</c:v>
                </c:pt>
                <c:pt idx="3">
                  <c:v>3708.4789097203429</c:v>
                </c:pt>
                <c:pt idx="4">
                  <c:v>2944.8617824731646</c:v>
                </c:pt>
                <c:pt idx="5">
                  <c:v>2280.1858640293472</c:v>
                </c:pt>
                <c:pt idx="6">
                  <c:v>1760.4679621811422</c:v>
                </c:pt>
                <c:pt idx="7">
                  <c:v>1370.4111622132723</c:v>
                </c:pt>
                <c:pt idx="8">
                  <c:v>1080.29074394943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E-854A-A2A4-035D919DB043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3.06</c:v>
                </c:pt>
                <c:pt idx="2">
                  <c:v>4.4350000000000005</c:v>
                </c:pt>
                <c:pt idx="3">
                  <c:v>5.8100000000000005</c:v>
                </c:pt>
                <c:pt idx="4">
                  <c:v>7.1850000000000005</c:v>
                </c:pt>
                <c:pt idx="5">
                  <c:v>8.56</c:v>
                </c:pt>
                <c:pt idx="6">
                  <c:v>9.9350000000000005</c:v>
                </c:pt>
                <c:pt idx="7">
                  <c:v>11.31</c:v>
                </c:pt>
                <c:pt idx="8">
                  <c:v>12.685</c:v>
                </c:pt>
              </c:numCache>
            </c:numRef>
          </c:xVal>
          <c:yVal>
            <c:numRef>
              <c:f>Abaco!$L$50:$L$58</c:f>
              <c:numCache>
                <c:formatCode>General" m"</c:formatCode>
                <c:ptCount val="9"/>
                <c:pt idx="0">
                  <c:v>2206.1441384384134</c:v>
                </c:pt>
                <c:pt idx="1">
                  <c:v>2630.4065054304597</c:v>
                </c:pt>
                <c:pt idx="2">
                  <c:v>2680.8857295341168</c:v>
                </c:pt>
                <c:pt idx="3">
                  <c:v>2489.24386397035</c:v>
                </c:pt>
                <c:pt idx="4">
                  <c:v>2173.5616424785485</c:v>
                </c:pt>
                <c:pt idx="5">
                  <c:v>1825.49423774466</c:v>
                </c:pt>
                <c:pt idx="6">
                  <c:v>1500.4631039113558</c:v>
                </c:pt>
                <c:pt idx="7">
                  <c:v>1222.280976172716</c:v>
                </c:pt>
                <c:pt idx="8">
                  <c:v>994.88840526865658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E-854A-A2A4-035D919DB043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3.06</c:v>
                </c:pt>
                <c:pt idx="2">
                  <c:v>4.4350000000000005</c:v>
                </c:pt>
                <c:pt idx="3">
                  <c:v>5.8100000000000005</c:v>
                </c:pt>
                <c:pt idx="4">
                  <c:v>7.1850000000000005</c:v>
                </c:pt>
                <c:pt idx="5">
                  <c:v>8.56</c:v>
                </c:pt>
                <c:pt idx="6">
                  <c:v>9.9350000000000005</c:v>
                </c:pt>
                <c:pt idx="7">
                  <c:v>11.31</c:v>
                </c:pt>
                <c:pt idx="8">
                  <c:v>12.685</c:v>
                </c:pt>
              </c:numCache>
            </c:numRef>
          </c:xVal>
          <c:yVal>
            <c:numRef>
              <c:f>Abaco!$L$59:$L$67</c:f>
              <c:numCache>
                <c:formatCode>General" m"</c:formatCode>
                <c:ptCount val="9"/>
                <c:pt idx="0">
                  <c:v>1399.5868475921286</c:v>
                </c:pt>
                <c:pt idx="1">
                  <c:v>1595.3037917204506</c:v>
                </c:pt>
                <c:pt idx="2">
                  <c:v>1654.5300298511393</c:v>
                </c:pt>
                <c:pt idx="3">
                  <c:v>1614.163560524888</c:v>
                </c:pt>
                <c:pt idx="4">
                  <c:v>1502.9803488210928</c:v>
                </c:pt>
                <c:pt idx="5">
                  <c:v>1350.2885487458652</c:v>
                </c:pt>
                <c:pt idx="6">
                  <c:v>1181.5195730854978</c:v>
                </c:pt>
                <c:pt idx="7">
                  <c:v>1015.2966888668682</c:v>
                </c:pt>
                <c:pt idx="8">
                  <c:v>862.82563071536799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E-854A-A2A4-035D919D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63536"/>
        <c:axId val="1"/>
      </c:scatterChart>
      <c:valAx>
        <c:axId val="176496353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35"/>
              <c:y val="0.80923599762293863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Abaco!$B$76</c:f>
              <c:strCache>
                <c:ptCount val="1"/>
                <c:pt idx="0">
                  <c:v>Altitude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6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22834919091606"/>
          <c:y val="0.19457634243306321"/>
          <c:w val="0.19231382461027713"/>
          <c:h val="0.2443516858461724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Abaco!$B$79</c:f>
          <c:strCache>
            <c:ptCount val="1"/>
            <c:pt idx="0">
              <c:v>Temps de culmination / Masse totale</c:v>
            </c:pt>
          </c:strCache>
        </c:strRef>
      </c:tx>
      <c:layout>
        <c:manualLayout>
          <c:xMode val="edge"/>
          <c:yMode val="edge"/>
          <c:x val="0.18369438576275526"/>
          <c:y val="3.2407517456544348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54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3.06</c:v>
                </c:pt>
                <c:pt idx="2">
                  <c:v>4.4350000000000005</c:v>
                </c:pt>
                <c:pt idx="3">
                  <c:v>5.8100000000000005</c:v>
                </c:pt>
                <c:pt idx="4">
                  <c:v>7.1850000000000005</c:v>
                </c:pt>
                <c:pt idx="5">
                  <c:v>8.56</c:v>
                </c:pt>
                <c:pt idx="6">
                  <c:v>9.9350000000000005</c:v>
                </c:pt>
                <c:pt idx="7">
                  <c:v>11.31</c:v>
                </c:pt>
                <c:pt idx="8">
                  <c:v>12.685</c:v>
                </c:pt>
              </c:numCache>
            </c:numRef>
          </c:xVal>
          <c:yVal>
            <c:numRef>
              <c:f>Abaco!$M$41:$M$49</c:f>
              <c:numCache>
                <c:formatCode>General" s"</c:formatCode>
                <c:ptCount val="9"/>
                <c:pt idx="0">
                  <c:v>16.576277929342474</c:v>
                </c:pt>
                <c:pt idx="1">
                  <c:v>24.274971916894089</c:v>
                </c:pt>
                <c:pt idx="2">
                  <c:v>26.786172471475229</c:v>
                </c:pt>
                <c:pt idx="3">
                  <c:v>26.497266120144026</c:v>
                </c:pt>
                <c:pt idx="4">
                  <c:v>24.766862636557711</c:v>
                </c:pt>
                <c:pt idx="5">
                  <c:v>22.533283398060135</c:v>
                </c:pt>
                <c:pt idx="6">
                  <c:v>20.307937814250547</c:v>
                </c:pt>
                <c:pt idx="7">
                  <c:v>18.297994041561687</c:v>
                </c:pt>
                <c:pt idx="8">
                  <c:v>16.55348395833153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7-A64B-83D1-484ECF67F6C4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3.06</c:v>
                </c:pt>
                <c:pt idx="2">
                  <c:v>4.4350000000000005</c:v>
                </c:pt>
                <c:pt idx="3">
                  <c:v>5.8100000000000005</c:v>
                </c:pt>
                <c:pt idx="4">
                  <c:v>7.1850000000000005</c:v>
                </c:pt>
                <c:pt idx="5">
                  <c:v>8.56</c:v>
                </c:pt>
                <c:pt idx="6">
                  <c:v>9.9350000000000005</c:v>
                </c:pt>
                <c:pt idx="7">
                  <c:v>11.31</c:v>
                </c:pt>
                <c:pt idx="8">
                  <c:v>12.685</c:v>
                </c:pt>
              </c:numCache>
            </c:numRef>
          </c:xVal>
          <c:yVal>
            <c:numRef>
              <c:f>Abaco!$M$50:$M$58</c:f>
              <c:numCache>
                <c:formatCode>General" s"</c:formatCode>
                <c:ptCount val="9"/>
                <c:pt idx="0">
                  <c:v>11.954506441744767</c:v>
                </c:pt>
                <c:pt idx="1">
                  <c:v>17.319982246971264</c:v>
                </c:pt>
                <c:pt idx="2">
                  <c:v>19.853407428809657</c:v>
                </c:pt>
                <c:pt idx="3">
                  <c:v>20.751595435820622</c:v>
                </c:pt>
                <c:pt idx="4">
                  <c:v>20.541025963694935</c:v>
                </c:pt>
                <c:pt idx="5">
                  <c:v>19.645435650140325</c:v>
                </c:pt>
                <c:pt idx="6">
                  <c:v>18.406578659059306</c:v>
                </c:pt>
                <c:pt idx="7">
                  <c:v>17.060959645738919</c:v>
                </c:pt>
                <c:pt idx="8">
                  <c:v>15.745808296070004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7-A64B-83D1-484ECF67F6C4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3.06</c:v>
                </c:pt>
                <c:pt idx="2">
                  <c:v>4.4350000000000005</c:v>
                </c:pt>
                <c:pt idx="3">
                  <c:v>5.8100000000000005</c:v>
                </c:pt>
                <c:pt idx="4">
                  <c:v>7.1850000000000005</c:v>
                </c:pt>
                <c:pt idx="5">
                  <c:v>8.56</c:v>
                </c:pt>
                <c:pt idx="6">
                  <c:v>9.9350000000000005</c:v>
                </c:pt>
                <c:pt idx="7">
                  <c:v>11.31</c:v>
                </c:pt>
                <c:pt idx="8">
                  <c:v>12.685</c:v>
                </c:pt>
              </c:numCache>
            </c:numRef>
          </c:xVal>
          <c:yVal>
            <c:numRef>
              <c:f>Abaco!$M$59:$M$67</c:f>
              <c:numCache>
                <c:formatCode>General" s"</c:formatCode>
                <c:ptCount val="9"/>
                <c:pt idx="0">
                  <c:v>9.167419929200058</c:v>
                </c:pt>
                <c:pt idx="1">
                  <c:v>12.846001290237918</c:v>
                </c:pt>
                <c:pt idx="2">
                  <c:v>14.881195866231442</c:v>
                </c:pt>
                <c:pt idx="3">
                  <c:v>16.005191265115911</c:v>
                </c:pt>
                <c:pt idx="4">
                  <c:v>16.448198046391159</c:v>
                </c:pt>
                <c:pt idx="5">
                  <c:v>16.37395180084733</c:v>
                </c:pt>
                <c:pt idx="6">
                  <c:v>15.931490787711386</c:v>
                </c:pt>
                <c:pt idx="7">
                  <c:v>15.255425679520933</c:v>
                </c:pt>
                <c:pt idx="8">
                  <c:v>14.456181215450227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47-A64B-83D1-484ECF67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99296"/>
        <c:axId val="1"/>
      </c:scatterChart>
      <c:valAx>
        <c:axId val="176499929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425132834"/>
              <c:y val="0.80923599762293863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Abaco!$B$78</c:f>
              <c:strCache>
                <c:ptCount val="1"/>
                <c:pt idx="0">
                  <c:v>Temps de culmination</c:v>
                </c:pt>
              </c:strCache>
            </c:strRef>
          </c:tx>
          <c:layout>
            <c:manualLayout>
              <c:xMode val="edge"/>
              <c:yMode val="edge"/>
              <c:x val="0.14166677336064698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6971728612397"/>
          <c:y val="0.19457634243306321"/>
          <c:w val="0.18703852547642652"/>
          <c:h val="0.2443516858461724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Stabilito!$B$117</c:f>
          <c:strCache>
            <c:ptCount val="1"/>
            <c:pt idx="0">
              <c:v>Diagramme des critères de stabilité</c:v>
            </c:pt>
          </c:strCache>
        </c:strRef>
      </c:tx>
      <c:layout>
        <c:manualLayout>
          <c:xMode val="edge"/>
          <c:yMode val="edge"/>
          <c:x val="0.19620910443519402"/>
          <c:y val="8.0214173228346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92838196286504E-2"/>
          <c:y val="5.8823683008029461E-2"/>
          <c:w val="0.93899204244031864"/>
          <c:h val="0.8288791696585972"/>
        </c:manualLayout>
      </c:layout>
      <c:scatterChart>
        <c:scatterStyle val="smoothMarker"/>
        <c:varyColors val="0"/>
        <c:ser>
          <c:idx val="0"/>
          <c:order val="0"/>
          <c:tx>
            <c:v>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Stabilito!$B$182:$B$183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Stabilito!$C$182:$C$183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8-824B-8B6E-E20872B57592}"/>
            </c:ext>
          </c:extLst>
        </c:ser>
        <c:ser>
          <c:idx val="1"/>
          <c:order val="1"/>
          <c:tx>
            <c:v>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Stabilito!$B$184:$B$185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Stabilito!$C$184:$C$185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8-824B-8B6E-E20872B57592}"/>
            </c:ext>
          </c:extLst>
        </c:ser>
        <c:ser>
          <c:idx val="2"/>
          <c:order val="2"/>
          <c:tx>
            <c:v>MS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Stabilito!$B$186:$B$187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Stabilito!$C$186:$C$187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48-824B-8B6E-E20872B57592}"/>
            </c:ext>
          </c:extLst>
        </c:ser>
        <c:ser>
          <c:idx val="3"/>
          <c:order val="3"/>
          <c:tx>
            <c:v>MS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Stabilito!$B$188:$B$189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Stabilito!$C$188:$C$189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48-824B-8B6E-E20872B57592}"/>
            </c:ext>
          </c:extLst>
        </c:ser>
        <c:ser>
          <c:idx val="5"/>
          <c:order val="6"/>
          <c:tx>
            <c:v>MS*Cna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Stabilito!$D$182:$D$187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Stabilito!$E$182:$E$187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13.333333333333334</c:v>
                </c:pt>
                <c:pt idx="4">
                  <c:v>8</c:v>
                </c:pt>
                <c:pt idx="5">
                  <c:v>5.7142857142857144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48-824B-8B6E-E20872B57592}"/>
            </c:ext>
          </c:extLst>
        </c:ser>
        <c:ser>
          <c:idx val="6"/>
          <c:order val="7"/>
          <c:tx>
            <c:v>MS*Cna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Stabilito!$D$188:$D$193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Stabilito!$E$188:$E$193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16.666666666666668</c:v>
                </c:pt>
                <c:pt idx="5">
                  <c:v>14.285714285714286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48-824B-8B6E-E20872B57592}"/>
            </c:ext>
          </c:extLst>
        </c:ser>
        <c:ser>
          <c:idx val="7"/>
          <c:order val="8"/>
          <c:tx>
            <c:v>Cna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Stabilito!$B$195:$B$196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Stabilito!$C$195:$C$196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48-824B-8B6E-E20872B57592}"/>
            </c:ext>
          </c:extLst>
        </c:ser>
        <c:ser>
          <c:idx val="8"/>
          <c:order val="9"/>
          <c:tx>
            <c:v>Cna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Stabilito!$B$197:$B$198</c:f>
              <c:numCache>
                <c:formatCode>General</c:formatCode>
                <c:ptCount val="2"/>
                <c:pt idx="0">
                  <c:v>3.6363636363636362</c:v>
                </c:pt>
                <c:pt idx="1">
                  <c:v>7</c:v>
                </c:pt>
              </c:numCache>
            </c:numRef>
          </c:xVal>
          <c:yVal>
            <c:numRef>
              <c:f>Stabilito!$C$197:$C$198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48-824B-8B6E-E20872B57592}"/>
            </c:ext>
          </c:extLst>
        </c:ser>
        <c:ser>
          <c:idx val="9"/>
          <c:order val="10"/>
          <c:tx>
            <c:v>MS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Stabilito!$B$199:$B$200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Stabilito!$C$199:$C$200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48-824B-8B6E-E20872B57592}"/>
            </c:ext>
          </c:extLst>
        </c:ser>
        <c:ser>
          <c:idx val="10"/>
          <c:order val="11"/>
          <c:tx>
            <c:v>MS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Stabilito!$B$201:$B$202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Stabilito!$C$201:$C$202</c:f>
              <c:numCache>
                <c:formatCode>General</c:formatCode>
                <c:ptCount val="2"/>
                <c:pt idx="0">
                  <c:v>25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48-824B-8B6E-E20872B5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58336"/>
        <c:axId val="1"/>
      </c:scatterChart>
      <c:scatterChart>
        <c:scatterStyle val="lineMarker"/>
        <c:varyColors val="0"/>
        <c:ser>
          <c:idx val="4"/>
          <c:order val="4"/>
          <c:tx>
            <c:v>Fusée en cours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Stabilito!$B$190:$B$193</c:f>
              <c:numCache>
                <c:formatCode>0.00</c:formatCode>
                <c:ptCount val="4"/>
                <c:pt idx="0">
                  <c:v>2.0895228236400465</c:v>
                </c:pt>
                <c:pt idx="1">
                  <c:v>3.4162057260007557</c:v>
                </c:pt>
                <c:pt idx="2">
                  <c:v>4.5948146770129323</c:v>
                </c:pt>
                <c:pt idx="3">
                  <c:v>3.2681317746522232</c:v>
                </c:pt>
              </c:numCache>
            </c:numRef>
          </c:xVal>
          <c:yVal>
            <c:numRef>
              <c:f>Stabilito!$C$190:$C$193</c:f>
              <c:numCache>
                <c:formatCode>0.00</c:formatCode>
                <c:ptCount val="4"/>
                <c:pt idx="0">
                  <c:v>30.386681608896026</c:v>
                </c:pt>
                <c:pt idx="1">
                  <c:v>38.35872333312706</c:v>
                </c:pt>
                <c:pt idx="2">
                  <c:v>38.35872333312706</c:v>
                </c:pt>
                <c:pt idx="3">
                  <c:v>30.386681608896026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48-824B-8B6E-E20872B57592}"/>
            </c:ext>
          </c:extLst>
        </c:ser>
        <c:ser>
          <c:idx val="11"/>
          <c:order val="5"/>
          <c:tx>
            <c:v>Fusée en cours0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Stabilito!$B$193:$B$194</c:f>
              <c:numCache>
                <c:formatCode>0.00</c:formatCode>
                <c:ptCount val="2"/>
                <c:pt idx="0">
                  <c:v>3.2681317746522232</c:v>
                </c:pt>
                <c:pt idx="1">
                  <c:v>2.0895228236400465</c:v>
                </c:pt>
              </c:numCache>
            </c:numRef>
          </c:xVal>
          <c:yVal>
            <c:numRef>
              <c:f>Stabilito!$C$193:$C$194</c:f>
              <c:numCache>
                <c:formatCode>0.00</c:formatCode>
                <c:ptCount val="2"/>
                <c:pt idx="0">
                  <c:v>30.386681608896026</c:v>
                </c:pt>
                <c:pt idx="1">
                  <c:v>30.386681608896026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48-824B-8B6E-E20872B5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58336"/>
        <c:axId val="1"/>
      </c:scatterChart>
      <c:valAx>
        <c:axId val="1806258336"/>
        <c:scaling>
          <c:orientation val="minMax"/>
          <c:max val="7"/>
          <c:min val="0"/>
        </c:scaling>
        <c:delete val="0"/>
        <c:axPos val="b"/>
        <c:title>
          <c:tx>
            <c:strRef>
              <c:f>Stabilito!$B$118</c:f>
              <c:strCache>
                <c:ptCount val="1"/>
                <c:pt idx="0">
                  <c:v>Marge Statique (MS)</c:v>
                </c:pt>
              </c:strCache>
            </c:strRef>
          </c:tx>
          <c:layout>
            <c:manualLayout>
              <c:xMode val="edge"/>
              <c:yMode val="edge"/>
              <c:x val="0.51717271009913568"/>
              <c:y val="0.73094047244094484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5"/>
          <c:min val="0"/>
        </c:scaling>
        <c:delete val="0"/>
        <c:axPos val="l"/>
        <c:title>
          <c:tx>
            <c:strRef>
              <c:f>Stabilito!$B$119</c:f>
              <c:strCache>
                <c:ptCount val="1"/>
                <c:pt idx="0">
                  <c:v>Portance Cnα</c:v>
                </c:pt>
              </c:strCache>
            </c:strRef>
          </c:tx>
          <c:layout>
            <c:manualLayout>
              <c:xMode val="edge"/>
              <c:yMode val="edge"/>
              <c:x val="6.9119481083972784E-2"/>
              <c:y val="0.24099905511811026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258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Trajecto!$B$110</c:f>
          <c:strCache>
            <c:ptCount val="1"/>
            <c:pt idx="0">
              <c:v>Trajectoire (x z)</c:v>
            </c:pt>
          </c:strCache>
        </c:strRef>
      </c:tx>
      <c:layout>
        <c:manualLayout>
          <c:xMode val="edge"/>
          <c:yMode val="edge"/>
          <c:x val="0.66868786671936276"/>
          <c:y val="3.85757440697271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697175950449913E-2"/>
          <c:y val="3.5608360198500402E-2"/>
          <c:w val="0.89697235136230857"/>
          <c:h val="0.89614373166225958"/>
        </c:manualLayout>
      </c:layout>
      <c:scatterChart>
        <c:scatterStyle val="lineMarker"/>
        <c:varyColors val="0"/>
        <c:ser>
          <c:idx val="0"/>
          <c:order val="0"/>
          <c:tx>
            <c:v>Point invisible pour mise à l'echelle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Trajecto!$B$120</c:f>
              <c:numCache>
                <c:formatCode>0</c:formatCode>
                <c:ptCount val="1"/>
                <c:pt idx="0">
                  <c:v>1926.6040134102664</c:v>
                </c:pt>
              </c:numCache>
            </c:numRef>
          </c:xVal>
          <c:yVal>
            <c:numRef>
              <c:f>Trajecto!$C$118</c:f>
              <c:numCache>
                <c:formatCode>0</c:formatCode>
                <c:ptCount val="1"/>
                <c:pt idx="0">
                  <c:v>1926.6040134102664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B-6442-AFEC-07E56791BA28}"/>
            </c:ext>
          </c:extLst>
        </c:ser>
        <c:ser>
          <c:idx val="1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Calculs!$AD$4:$AD$1004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4.7716348168466336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19.448482067124576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42.031422661236533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67.740996652154607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91.441383027264138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113.2724309090886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133.61355959361552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152.7481074289424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170.89439783291127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188.22523093004057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204.8806462762235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220.97658164892709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236.61092183972482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251.86781673423914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266.82078495054941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281.53486143279071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296.0677537886973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310.46931769061524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324.77682050982679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339.00304980060162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353.13003733821137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367.1212391341565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380.93397419550229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394.52487120715602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407.85218867395258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420.87704421559226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433.5641732180668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445.88241830446356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457.80502729620383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469.30979735081547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480.37908956587501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490.99973406094909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501.16284433682682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510.86355926757818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520.10073051622703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528.87657217824551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537.19628801376746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545.06768981530467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552.50081840617065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559.50757661657394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566.10138146561349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1.3233354686966879E-4</c:v>
                </c:pt>
                <c:pt idx="2">
                  <c:v>1.7678971011637825E-3</c:v>
                </c:pt>
                <c:pt idx="3">
                  <c:v>7.3846649585392532E-3</c:v>
                </c:pt>
                <c:pt idx="4">
                  <c:v>1.9462765294790782E-2</c:v>
                </c:pt>
                <c:pt idx="5">
                  <c:v>4.0485388323537631E-2</c:v>
                </c:pt>
                <c:pt idx="6">
                  <c:v>7.2311495227104908E-2</c:v>
                </c:pt>
                <c:pt idx="7">
                  <c:v>0.11554661406552218</c:v>
                </c:pt>
                <c:pt idx="8">
                  <c:v>0.17016875077340787</c:v>
                </c:pt>
                <c:pt idx="9">
                  <c:v>0.23615576217981632</c:v>
                </c:pt>
                <c:pt idx="10">
                  <c:v>0.3134853564423159</c:v>
                </c:pt>
                <c:pt idx="11">
                  <c:v>0.40213509348839366</c:v>
                </c:pt>
                <c:pt idx="12">
                  <c:v>0.5020823854641463</c:v>
                </c:pt>
                <c:pt idx="13">
                  <c:v>0.61330449719021651</c:v>
                </c:pt>
                <c:pt idx="14">
                  <c:v>0.73577854662493314</c:v>
                </c:pt>
                <c:pt idx="15">
                  <c:v>0.86948150533461188</c:v>
                </c:pt>
                <c:pt idx="16">
                  <c:v>1.0143901989709738</c:v>
                </c:pt>
                <c:pt idx="17">
                  <c:v>1.1704813077556369</c:v>
                </c:pt>
                <c:pt idx="18">
                  <c:v>1.3377313669716355</c:v>
                </c:pt>
                <c:pt idx="19">
                  <c:v>1.5161167674619227</c:v>
                </c:pt>
                <c:pt idx="20">
                  <c:v>1.705613756134807</c:v>
                </c:pt>
                <c:pt idx="21">
                  <c:v>1.9061984364762792</c:v>
                </c:pt>
                <c:pt idx="22">
                  <c:v>2.1178467690691769</c:v>
                </c:pt>
                <c:pt idx="23">
                  <c:v>2.3405345721191422</c:v>
                </c:pt>
                <c:pt idx="24">
                  <c:v>2.5742375219873179</c:v>
                </c:pt>
                <c:pt idx="25">
                  <c:v>2.8189311537297388</c:v>
                </c:pt>
                <c:pt idx="26">
                  <c:v>3.0745908616433573</c:v>
                </c:pt>
                <c:pt idx="27">
                  <c:v>3.3411918998186607</c:v>
                </c:pt>
                <c:pt idx="28">
                  <c:v>3.6187093826988224</c:v>
                </c:pt>
                <c:pt idx="29">
                  <c:v>3.9071182856453341</c:v>
                </c:pt>
                <c:pt idx="30">
                  <c:v>4.2063934455100664</c:v>
                </c:pt>
                <c:pt idx="31">
                  <c:v>4.5165058330928476</c:v>
                </c:pt>
                <c:pt idx="32">
                  <c:v>4.8374261449249225</c:v>
                </c:pt>
                <c:pt idx="33">
                  <c:v>5.1691285340213797</c:v>
                </c:pt>
                <c:pt idx="34">
                  <c:v>5.5115870234091933</c:v>
                </c:pt>
                <c:pt idx="35">
                  <c:v>5.8647755085918361</c:v>
                </c:pt>
                <c:pt idx="36">
                  <c:v>6.2286677577231684</c:v>
                </c:pt>
                <c:pt idx="37">
                  <c:v>6.6032374118248418</c:v>
                </c:pt>
                <c:pt idx="38">
                  <c:v>6.9884579850429116</c:v>
                </c:pt>
                <c:pt idx="39">
                  <c:v>7.3843028649399383</c:v>
                </c:pt>
                <c:pt idx="40">
                  <c:v>7.7907453128193618</c:v>
                </c:pt>
                <c:pt idx="41">
                  <c:v>8.207758464079328</c:v>
                </c:pt>
                <c:pt idx="42">
                  <c:v>8.6353153285935189</c:v>
                </c:pt>
                <c:pt idx="43">
                  <c:v>9.0733887911168214</c:v>
                </c:pt>
                <c:pt idx="44">
                  <c:v>9.5219516117139342</c:v>
                </c:pt>
                <c:pt idx="45">
                  <c:v>9.9809764262092102</c:v>
                </c:pt>
                <c:pt idx="46">
                  <c:v>10.45043574665625</c:v>
                </c:pt>
                <c:pt idx="47">
                  <c:v>10.930301961825897</c:v>
                </c:pt>
                <c:pt idx="48">
                  <c:v>11.420547337711429</c:v>
                </c:pt>
                <c:pt idx="49">
                  <c:v>11.921144018049887</c:v>
                </c:pt>
                <c:pt idx="50">
                  <c:v>12.432064024858539</c:v>
                </c:pt>
                <c:pt idx="51">
                  <c:v>12.953282582380416</c:v>
                </c:pt>
                <c:pt idx="52">
                  <c:v>13.484781447029643</c:v>
                </c:pt>
                <c:pt idx="53">
                  <c:v>14.026545592720122</c:v>
                </c:pt>
                <c:pt idx="54">
                  <c:v>14.578559890023286</c:v>
                </c:pt>
                <c:pt idx="55">
                  <c:v>15.140809106374764</c:v>
                </c:pt>
                <c:pt idx="56">
                  <c:v>15.713277906290934</c:v>
                </c:pt>
                <c:pt idx="57">
                  <c:v>16.295950851594956</c:v>
                </c:pt>
                <c:pt idx="58">
                  <c:v>16.888812401651926</c:v>
                </c:pt>
                <c:pt idx="59">
                  <c:v>17.49184691361279</c:v>
                </c:pt>
                <c:pt idx="60">
                  <c:v>18.105038642666727</c:v>
                </c:pt>
                <c:pt idx="61">
                  <c:v>18.728371742301682</c:v>
                </c:pt>
                <c:pt idx="62">
                  <c:v>19.361830264572792</c:v>
                </c:pt>
                <c:pt idx="63">
                  <c:v>20.005398160378441</c:v>
                </c:pt>
                <c:pt idx="64">
                  <c:v>20.659059279743751</c:v>
                </c:pt>
                <c:pt idx="65">
                  <c:v>21.322797372111214</c:v>
                </c:pt>
                <c:pt idx="66">
                  <c:v>21.996596086638341</c:v>
                </c:pt>
                <c:pt idx="67">
                  <c:v>22.680438972502074</c:v>
                </c:pt>
                <c:pt idx="68">
                  <c:v>23.37430947920981</c:v>
                </c:pt>
                <c:pt idx="69">
                  <c:v>24.078190956916874</c:v>
                </c:pt>
                <c:pt idx="70">
                  <c:v>24.792066656750261</c:v>
                </c:pt>
                <c:pt idx="71">
                  <c:v>25.515919731138499</c:v>
                </c:pt>
                <c:pt idx="72">
                  <c:v>26.249733234147506</c:v>
                </c:pt>
                <c:pt idx="73">
                  <c:v>26.99349012182228</c:v>
                </c:pt>
                <c:pt idx="74">
                  <c:v>27.747173252534331</c:v>
                </c:pt>
                <c:pt idx="75">
                  <c:v>28.510765387334679</c:v>
                </c:pt>
                <c:pt idx="76">
                  <c:v>29.284249190312352</c:v>
                </c:pt>
                <c:pt idx="77">
                  <c:v>30.067607228958231</c:v>
                </c:pt>
                <c:pt idx="78">
                  <c:v>30.860821974534179</c:v>
                </c:pt>
                <c:pt idx="79">
                  <c:v>31.663875802447297</c:v>
                </c:pt>
                <c:pt idx="80">
                  <c:v>32.476750992629256</c:v>
                </c:pt>
                <c:pt idx="81">
                  <c:v>33.299429729920583</c:v>
                </c:pt>
                <c:pt idx="82">
                  <c:v>34.131894104459818</c:v>
                </c:pt>
                <c:pt idx="83">
                  <c:v>34.97412611207745</c:v>
                </c:pt>
                <c:pt idx="84">
                  <c:v>35.826107654694546</c:v>
                </c:pt>
                <c:pt idx="85">
                  <c:v>36.687820540726001</c:v>
                </c:pt>
                <c:pt idx="86">
                  <c:v>37.559246485488302</c:v>
                </c:pt>
                <c:pt idx="87">
                  <c:v>38.440367111611778</c:v>
                </c:pt>
                <c:pt idx="88">
                  <c:v>39.331163949457171</c:v>
                </c:pt>
                <c:pt idx="89">
                  <c:v>40.231618437536575</c:v>
                </c:pt>
                <c:pt idx="90">
                  <c:v>41.141711922938555</c:v>
                </c:pt>
                <c:pt idx="91">
                  <c:v>42.061425661757454</c:v>
                </c:pt>
                <c:pt idx="92">
                  <c:v>42.990740819526756</c:v>
                </c:pt>
                <c:pt idx="93">
                  <c:v>43.929638471656531</c:v>
                </c:pt>
                <c:pt idx="94">
                  <c:v>44.878099603874766</c:v>
                </c:pt>
                <c:pt idx="95">
                  <c:v>45.836105112672634</c:v>
                </c:pt>
                <c:pt idx="96">
                  <c:v>46.803635805753579</c:v>
                </c:pt>
                <c:pt idx="97">
                  <c:v>47.780672402486154</c:v>
                </c:pt>
                <c:pt idx="98">
                  <c:v>48.767195534360567</c:v>
                </c:pt>
                <c:pt idx="99">
                  <c:v>49.76318574544888</c:v>
                </c:pt>
                <c:pt idx="100">
                  <c:v>50.76862349286877</c:v>
                </c:pt>
                <c:pt idx="101">
                  <c:v>51.783487606594051</c:v>
                </c:pt>
                <c:pt idx="102">
                  <c:v>52.807753747314081</c:v>
                </c:pt>
                <c:pt idx="103">
                  <c:v>53.841395945364965</c:v>
                </c:pt>
                <c:pt idx="104">
                  <c:v>54.884388141708492</c:v>
                </c:pt>
                <c:pt idx="105">
                  <c:v>55.936704188592621</c:v>
                </c:pt>
                <c:pt idx="106">
                  <c:v>56.998317850215017</c:v>
                </c:pt>
                <c:pt idx="107">
                  <c:v>58.069202803389466</c:v>
                </c:pt>
                <c:pt idx="108">
                  <c:v>59.149332638215199</c:v>
                </c:pt>
                <c:pt idx="109">
                  <c:v>60.238680858748971</c:v>
                </c:pt>
                <c:pt idx="110">
                  <c:v>61.337220883679876</c:v>
                </c:pt>
                <c:pt idx="111">
                  <c:v>62.444926047006803</c:v>
                </c:pt>
                <c:pt idx="112">
                  <c:v>63.561769598718449</c:v>
                </c:pt>
                <c:pt idx="113">
                  <c:v>64.68772470547583</c:v>
                </c:pt>
                <c:pt idx="114">
                  <c:v>65.822764451297246</c:v>
                </c:pt>
                <c:pt idx="115">
                  <c:v>66.966861838245549</c:v>
                </c:pt>
                <c:pt idx="116">
                  <c:v>68.11998978711776</c:v>
                </c:pt>
                <c:pt idx="117">
                  <c:v>69.282121138136816</c:v>
                </c:pt>
                <c:pt idx="118">
                  <c:v>70.453228651645574</c:v>
                </c:pt>
                <c:pt idx="119">
                  <c:v>71.633285008802815</c:v>
                </c:pt>
                <c:pt idx="120">
                  <c:v>72.822262812281238</c:v>
                </c:pt>
                <c:pt idx="121">
                  <c:v>74.020134586967501</c:v>
                </c:pt>
                <c:pt idx="122">
                  <c:v>75.22687278066401</c:v>
                </c:pt>
                <c:pt idx="123">
                  <c:v>76.442449764792599</c:v>
                </c:pt>
                <c:pt idx="124">
                  <c:v>77.666837835099912</c:v>
                </c:pt>
                <c:pt idx="125">
                  <c:v>78.900009212364466</c:v>
                </c:pt>
                <c:pt idx="126">
                  <c:v>80.141936043105346</c:v>
                </c:pt>
                <c:pt idx="127">
                  <c:v>81.392590400292406</c:v>
                </c:pt>
                <c:pt idx="128">
                  <c:v>82.651944284057933</c:v>
                </c:pt>
                <c:pt idx="129">
                  <c:v>83.919969622409795</c:v>
                </c:pt>
                <c:pt idx="130">
                  <c:v>85.196638271945858</c:v>
                </c:pt>
                <c:pt idx="131">
                  <c:v>86.481922018569733</c:v>
                </c:pt>
                <c:pt idx="132">
                  <c:v>87.775792578207728</c:v>
                </c:pt>
                <c:pt idx="133">
                  <c:v>89.07822159752692</c:v>
                </c:pt>
                <c:pt idx="134">
                  <c:v>90.38918065465441</c:v>
                </c:pt>
                <c:pt idx="135">
                  <c:v>91.708641259897504</c:v>
                </c:pt>
                <c:pt idx="136">
                  <c:v>93.036574856464924</c:v>
                </c:pt>
                <c:pt idx="137">
                  <c:v>94.372952821188889</c:v>
                </c:pt>
                <c:pt idx="138">
                  <c:v>95.717746465248098</c:v>
                </c:pt>
                <c:pt idx="139">
                  <c:v>97.070927034891398</c:v>
                </c:pt>
                <c:pt idx="140">
                  <c:v>98.432465712162269</c:v>
                </c:pt>
                <c:pt idx="141">
                  <c:v>99.80233361562388</c:v>
                </c:pt>
                <c:pt idx="142">
                  <c:v>101.18050180108484</c:v>
                </c:pt>
                <c:pt idx="143">
                  <c:v>102.56694126232541</c:v>
                </c:pt>
                <c:pt idx="144">
                  <c:v>103.96162293182422</c:v>
                </c:pt>
                <c:pt idx="145">
                  <c:v>105.36451768148538</c:v>
                </c:pt>
                <c:pt idx="146">
                  <c:v>106.77559632336603</c:v>
                </c:pt>
                <c:pt idx="147">
                  <c:v>108.19482961040408</c:v>
                </c:pt>
                <c:pt idx="148">
                  <c:v>109.62218823714632</c:v>
                </c:pt>
                <c:pt idx="149">
                  <c:v>111.05764284047656</c:v>
                </c:pt>
                <c:pt idx="150">
                  <c:v>112.50116400034405</c:v>
                </c:pt>
                <c:pt idx="151">
                  <c:v>113.95272276739166</c:v>
                </c:pt>
                <c:pt idx="152">
                  <c:v>115.41229119093816</c:v>
                </c:pt>
                <c:pt idx="153">
                  <c:v>116.87984179297801</c:v>
                </c:pt>
                <c:pt idx="154">
                  <c:v>118.35534704179793</c:v>
                </c:pt>
                <c:pt idx="155">
                  <c:v>119.83877935264707</c:v>
                </c:pt>
                <c:pt idx="156">
                  <c:v>121.33011108840719</c:v>
                </c:pt>
                <c:pt idx="157">
                  <c:v>122.8293145602629</c:v>
                </c:pt>
                <c:pt idx="158">
                  <c:v>124.33636202837172</c:v>
                </c:pt>
                <c:pt idx="159">
                  <c:v>125.85122570253425</c:v>
                </c:pt>
                <c:pt idx="160">
                  <c:v>127.37387774286398</c:v>
                </c:pt>
                <c:pt idx="161">
                  <c:v>128.90429026045709</c:v>
                </c:pt>
                <c:pt idx="162">
                  <c:v>130.44243531806183</c:v>
                </c:pt>
                <c:pt idx="163">
                  <c:v>131.98828493074782</c:v>
                </c:pt>
                <c:pt idx="164">
                  <c:v>133.54181106657484</c:v>
                </c:pt>
                <c:pt idx="165">
                  <c:v>135.10298564726125</c:v>
                </c:pt>
                <c:pt idx="166">
                  <c:v>136.6717805488521</c:v>
                </c:pt>
                <c:pt idx="167">
                  <c:v>138.24816760238656</c:v>
                </c:pt>
                <c:pt idx="168">
                  <c:v>139.83211859456503</c:v>
                </c:pt>
                <c:pt idx="169">
                  <c:v>141.42360526841551</c:v>
                </c:pt>
                <c:pt idx="170">
                  <c:v>143.0225993239595</c:v>
                </c:pt>
                <c:pt idx="171">
                  <c:v>144.62907241887703</c:v>
                </c:pt>
                <c:pt idx="172">
                  <c:v>146.24299616917116</c:v>
                </c:pt>
                <c:pt idx="173">
                  <c:v>147.86434214983169</c:v>
                </c:pt>
                <c:pt idx="174">
                  <c:v>149.49308189549794</c:v>
                </c:pt>
                <c:pt idx="175">
                  <c:v>151.12918690112082</c:v>
                </c:pt>
                <c:pt idx="176">
                  <c:v>152.77262862262401</c:v>
                </c:pt>
                <c:pt idx="177">
                  <c:v>154.42337847756406</c:v>
                </c:pt>
                <c:pt idx="178">
                  <c:v>156.08140784578967</c:v>
                </c:pt>
                <c:pt idx="179">
                  <c:v>157.74668807009985</c:v>
                </c:pt>
                <c:pt idx="180">
                  <c:v>159.41919045690108</c:v>
                </c:pt>
                <c:pt idx="181">
                  <c:v>161.09888627686325</c:v>
                </c:pt>
                <c:pt idx="182">
                  <c:v>162.78574676557466</c:v>
                </c:pt>
                <c:pt idx="183">
                  <c:v>164.47974312419555</c:v>
                </c:pt>
                <c:pt idx="184">
                  <c:v>166.18084652011066</c:v>
                </c:pt>
                <c:pt idx="185">
                  <c:v>167.88902808758033</c:v>
                </c:pt>
                <c:pt idx="186">
                  <c:v>169.60425892839038</c:v>
                </c:pt>
                <c:pt idx="187">
                  <c:v>171.32651011250059</c:v>
                </c:pt>
                <c:pt idx="188">
                  <c:v>173.05575267869182</c:v>
                </c:pt>
                <c:pt idx="189">
                  <c:v>174.79195763521167</c:v>
                </c:pt>
                <c:pt idx="190">
                  <c:v>176.53509596041872</c:v>
                </c:pt>
                <c:pt idx="191">
                  <c:v>178.28513860342514</c:v>
                </c:pt>
                <c:pt idx="192">
                  <c:v>180.04205648473786</c:v>
                </c:pt>
                <c:pt idx="193">
                  <c:v>181.80582049689812</c:v>
                </c:pt>
                <c:pt idx="194">
                  <c:v>183.57640150511941</c:v>
                </c:pt>
                <c:pt idx="195">
                  <c:v>185.35377034792367</c:v>
                </c:pt>
                <c:pt idx="196">
                  <c:v>187.13789783777588</c:v>
                </c:pt>
                <c:pt idx="197">
                  <c:v>188.9287547617169</c:v>
                </c:pt>
                <c:pt idx="198">
                  <c:v>190.72631188199449</c:v>
                </c:pt>
                <c:pt idx="199">
                  <c:v>192.53053993669252</c:v>
                </c:pt>
                <c:pt idx="200">
                  <c:v>194.34140964035842</c:v>
                </c:pt>
                <c:pt idx="201">
                  <c:v>196.15889168462871</c:v>
                </c:pt>
                <c:pt idx="202">
                  <c:v>197.98295673885255</c:v>
                </c:pt>
                <c:pt idx="203">
                  <c:v>199.81357545071344</c:v>
                </c:pt>
                <c:pt idx="204">
                  <c:v>201.65071844684888</c:v>
                </c:pt>
                <c:pt idx="205">
                  <c:v>203.49435633346809</c:v>
                </c:pt>
                <c:pt idx="206">
                  <c:v>205.34445969696756</c:v>
                </c:pt>
                <c:pt idx="207">
                  <c:v>207.20099910454465</c:v>
                </c:pt>
                <c:pt idx="208">
                  <c:v>209.06394510480899</c:v>
                </c:pt>
                <c:pt idx="209">
                  <c:v>210.93326822839182</c:v>
                </c:pt>
                <c:pt idx="210">
                  <c:v>212.80893898855305</c:v>
                </c:pt>
                <c:pt idx="211">
                  <c:v>214.69092788178622</c:v>
                </c:pt>
                <c:pt idx="212">
                  <c:v>216.57920538842117</c:v>
                </c:pt>
                <c:pt idx="213">
                  <c:v>218.47374197322449</c:v>
                </c:pt>
                <c:pt idx="214">
                  <c:v>220.3745080859976</c:v>
                </c:pt>
                <c:pt idx="215">
                  <c:v>222.2814741621726</c:v>
                </c:pt>
                <c:pt idx="216">
                  <c:v>224.19461062340571</c:v>
                </c:pt>
                <c:pt idx="217">
                  <c:v>226.11388787816833</c:v>
                </c:pt>
                <c:pt idx="218">
                  <c:v>228.03927632233572</c:v>
                </c:pt>
                <c:pt idx="219">
                  <c:v>229.97074633977329</c:v>
                </c:pt>
                <c:pt idx="220">
                  <c:v>231.90826830292025</c:v>
                </c:pt>
                <c:pt idx="221">
                  <c:v>233.85181257337101</c:v>
                </c:pt>
                <c:pt idx="222">
                  <c:v>235.80134950245395</c:v>
                </c:pt>
                <c:pt idx="223">
                  <c:v>237.75684943180755</c:v>
                </c:pt>
                <c:pt idx="224">
                  <c:v>239.71828269395419</c:v>
                </c:pt>
                <c:pt idx="225">
                  <c:v>241.68561961287116</c:v>
                </c:pt>
                <c:pt idx="226">
                  <c:v>243.65883050455909</c:v>
                </c:pt>
                <c:pt idx="227">
                  <c:v>245.63788567760784</c:v>
                </c:pt>
                <c:pt idx="228">
                  <c:v>247.62275543375966</c:v>
                </c:pt>
                <c:pt idx="229">
                  <c:v>249.61341006846965</c:v>
                </c:pt>
                <c:pt idx="230">
                  <c:v>251.60981987146346</c:v>
                </c:pt>
                <c:pt idx="231">
                  <c:v>253.61195512729248</c:v>
                </c:pt>
                <c:pt idx="232">
                  <c:v>255.61978611588603</c:v>
                </c:pt>
                <c:pt idx="233">
                  <c:v>257.63328311310084</c:v>
                </c:pt>
                <c:pt idx="234">
                  <c:v>259.65241639126788</c:v>
                </c:pt>
                <c:pt idx="235">
                  <c:v>261.6771562197361</c:v>
                </c:pt>
                <c:pt idx="236">
                  <c:v>263.70747286541371</c:v>
                </c:pt>
                <c:pt idx="237">
                  <c:v>265.7433365933062</c:v>
                </c:pt>
                <c:pt idx="238">
                  <c:v>267.78471766705167</c:v>
                </c:pt>
                <c:pt idx="239">
                  <c:v>269.8315863494534</c:v>
                </c:pt>
                <c:pt idx="240">
                  <c:v>271.88391290300927</c:v>
                </c:pt>
                <c:pt idx="241">
                  <c:v>273.94166759043844</c:v>
                </c:pt>
                <c:pt idx="242">
                  <c:v>276.00482067520483</c:v>
                </c:pt>
                <c:pt idx="243">
                  <c:v>278.07334242203791</c:v>
                </c:pt>
                <c:pt idx="244">
                  <c:v>280.14720309745042</c:v>
                </c:pt>
                <c:pt idx="245">
                  <c:v>282.22637297025284</c:v>
                </c:pt>
                <c:pt idx="246">
                  <c:v>284.3108223120654</c:v>
                </c:pt>
                <c:pt idx="247">
                  <c:v>286.40052139782637</c:v>
                </c:pt>
                <c:pt idx="248">
                  <c:v>288.49544050629777</c:v>
                </c:pt>
                <c:pt idx="249">
                  <c:v>290.59554992056798</c:v>
                </c:pt>
                <c:pt idx="250">
                  <c:v>292.70081992855108</c:v>
                </c:pt>
                <c:pt idx="251">
                  <c:v>294.81121853091122</c:v>
                </c:pt>
                <c:pt idx="252">
                  <c:v>296.92670914982585</c:v>
                </c:pt>
                <c:pt idx="253">
                  <c:v>299.04725292562813</c:v>
                </c:pt>
                <c:pt idx="254">
                  <c:v>301.1728110126997</c:v>
                </c:pt>
                <c:pt idx="255">
                  <c:v>303.30334458014386</c:v>
                </c:pt>
                <c:pt idx="256">
                  <c:v>305.43881481245364</c:v>
                </c:pt>
                <c:pt idx="257">
                  <c:v>307.5791829101745</c:v>
                </c:pt>
                <c:pt idx="258">
                  <c:v>309.72441009056178</c:v>
                </c:pt>
                <c:pt idx="259">
                  <c:v>311.87445758823276</c:v>
                </c:pt>
                <c:pt idx="260">
                  <c:v>314.02928665581362</c:v>
                </c:pt>
                <c:pt idx="261">
                  <c:v>316.1888585645807</c:v>
                </c:pt>
                <c:pt idx="262">
                  <c:v>318.35313460509673</c:v>
                </c:pt>
                <c:pt idx="263">
                  <c:v>320.52207608784158</c:v>
                </c:pt>
                <c:pt idx="264">
                  <c:v>322.69564434383773</c:v>
                </c:pt>
                <c:pt idx="265">
                  <c:v>324.87380072527014</c:v>
                </c:pt>
                <c:pt idx="266">
                  <c:v>327.05650660610087</c:v>
                </c:pt>
                <c:pt idx="267">
                  <c:v>329.24372338267841</c:v>
                </c:pt>
                <c:pt idx="268">
                  <c:v>331.43541247434138</c:v>
                </c:pt>
                <c:pt idx="269">
                  <c:v>333.63153532401702</c:v>
                </c:pt>
                <c:pt idx="270">
                  <c:v>335.83205339881414</c:v>
                </c:pt>
                <c:pt idx="271">
                  <c:v>338.03692819061052</c:v>
                </c:pt>
                <c:pt idx="272">
                  <c:v>340.24612121663523</c:v>
                </c:pt>
                <c:pt idx="273">
                  <c:v>342.45959402004507</c:v>
                </c:pt>
                <c:pt idx="274">
                  <c:v>344.67730817049608</c:v>
                </c:pt>
                <c:pt idx="275">
                  <c:v>346.89922526470895</c:v>
                </c:pt>
                <c:pt idx="276">
                  <c:v>349.12530692702967</c:v>
                </c:pt>
                <c:pt idx="277">
                  <c:v>351.35551480998419</c:v>
                </c:pt>
                <c:pt idx="278">
                  <c:v>353.58981059482784</c:v>
                </c:pt>
                <c:pt idx="279">
                  <c:v>355.82815599208931</c:v>
                </c:pt>
                <c:pt idx="280">
                  <c:v>358.0705127421092</c:v>
                </c:pt>
                <c:pt idx="281">
                  <c:v>360.31684261557291</c:v>
                </c:pt>
                <c:pt idx="282">
                  <c:v>362.56710741403822</c:v>
                </c:pt>
                <c:pt idx="283">
                  <c:v>364.82126897045742</c:v>
                </c:pt>
                <c:pt idx="284">
                  <c:v>367.07928914969403</c:v>
                </c:pt>
                <c:pt idx="285">
                  <c:v>369.34112984903385</c:v>
                </c:pt>
                <c:pt idx="286">
                  <c:v>371.60675299869064</c:v>
                </c:pt>
                <c:pt idx="287">
                  <c:v>373.8761205623066</c:v>
                </c:pt>
                <c:pt idx="288">
                  <c:v>376.14919453744699</c:v>
                </c:pt>
                <c:pt idx="289">
                  <c:v>378.42593695608957</c:v>
                </c:pt>
                <c:pt idx="290">
                  <c:v>380.70630988510851</c:v>
                </c:pt>
                <c:pt idx="291">
                  <c:v>382.99027542675299</c:v>
                </c:pt>
                <c:pt idx="292">
                  <c:v>385.27779571912009</c:v>
                </c:pt>
                <c:pt idx="293">
                  <c:v>387.56883293662253</c:v>
                </c:pt>
                <c:pt idx="294">
                  <c:v>389.8633492904508</c:v>
                </c:pt>
                <c:pt idx="295">
                  <c:v>392.16130702903013</c:v>
                </c:pt>
                <c:pt idx="296">
                  <c:v>394.46266843847172</c:v>
                </c:pt>
                <c:pt idx="297">
                  <c:v>396.76739584301885</c:v>
                </c:pt>
                <c:pt idx="298">
                  <c:v>399.07542636391133</c:v>
                </c:pt>
                <c:pt idx="299">
                  <c:v>401.3866467005185</c:v>
                </c:pt>
                <c:pt idx="300">
                  <c:v>403.70091843431464</c:v>
                </c:pt>
                <c:pt idx="301">
                  <c:v>406.01810331214421</c:v>
                </c:pt>
                <c:pt idx="302">
                  <c:v>408.33806324974847</c:v>
                </c:pt>
                <c:pt idx="303">
                  <c:v>410.6606603352285</c:v>
                </c:pt>
                <c:pt idx="304">
                  <c:v>412.98575683244439</c:v>
                </c:pt>
                <c:pt idx="305">
                  <c:v>415.31321518435101</c:v>
                </c:pt>
                <c:pt idx="306">
                  <c:v>417.6428980162699</c:v>
                </c:pt>
                <c:pt idx="307">
                  <c:v>419.97466813909784</c:v>
                </c:pt>
                <c:pt idx="308">
                  <c:v>422.3083885524523</c:v>
                </c:pt>
                <c:pt idx="309">
                  <c:v>424.64392244775337</c:v>
                </c:pt>
                <c:pt idx="310">
                  <c:v>426.98113321124271</c:v>
                </c:pt>
                <c:pt idx="311">
                  <c:v>429.31988442693984</c:v>
                </c:pt>
                <c:pt idx="312">
                  <c:v>431.66003987953536</c:v>
                </c:pt>
                <c:pt idx="313">
                  <c:v>434.00146355722188</c:v>
                </c:pt>
                <c:pt idx="314">
                  <c:v>436.34401965446256</c:v>
                </c:pt>
                <c:pt idx="315">
                  <c:v>438.68757257469724</c:v>
                </c:pt>
                <c:pt idx="316">
                  <c:v>441.03198693298702</c:v>
                </c:pt>
                <c:pt idx="317">
                  <c:v>443.37712755859684</c:v>
                </c:pt>
                <c:pt idx="318">
                  <c:v>445.72285949751665</c:v>
                </c:pt>
                <c:pt idx="319">
                  <c:v>448.06904801492141</c:v>
                </c:pt>
                <c:pt idx="320">
                  <c:v>450.41555859756994</c:v>
                </c:pt>
                <c:pt idx="321">
                  <c:v>452.7622670037851</c:v>
                </c:pt>
                <c:pt idx="322">
                  <c:v>455.10906929779424</c:v>
                </c:pt>
                <c:pt idx="323">
                  <c:v>457.45587176938403</c:v>
                </c:pt>
                <c:pt idx="324">
                  <c:v>459.80258086848056</c:v>
                </c:pt>
                <c:pt idx="325">
                  <c:v>462.14910320607339</c:v>
                </c:pt>
                <c:pt idx="326">
                  <c:v>464.49534555511127</c:v>
                </c:pt>
                <c:pt idx="327">
                  <c:v>466.84121485136887</c:v>
                </c:pt>
                <c:pt idx="328">
                  <c:v>469.18661819428553</c:v>
                </c:pt>
                <c:pt idx="329">
                  <c:v>471.53146284777546</c:v>
                </c:pt>
                <c:pt idx="330">
                  <c:v>473.87565624100995</c:v>
                </c:pt>
                <c:pt idx="331">
                  <c:v>476.21910596917178</c:v>
                </c:pt>
                <c:pt idx="332">
                  <c:v>478.56171979418207</c:v>
                </c:pt>
                <c:pt idx="333">
                  <c:v>480.90340564539929</c:v>
                </c:pt>
                <c:pt idx="334">
                  <c:v>483.24407162029132</c:v>
                </c:pt>
                <c:pt idx="335">
                  <c:v>485.58362598508029</c:v>
                </c:pt>
                <c:pt idx="336">
                  <c:v>487.92197717536033</c:v>
                </c:pt>
                <c:pt idx="337">
                  <c:v>490.25903379668893</c:v>
                </c:pt>
                <c:pt idx="338">
                  <c:v>492.59470462515151</c:v>
                </c:pt>
                <c:pt idx="339">
                  <c:v>494.92889860789978</c:v>
                </c:pt>
                <c:pt idx="340">
                  <c:v>497.26152486366402</c:v>
                </c:pt>
                <c:pt idx="341">
                  <c:v>499.59249268323924</c:v>
                </c:pt>
                <c:pt idx="342">
                  <c:v>501.92171152994592</c:v>
                </c:pt>
                <c:pt idx="343">
                  <c:v>504.24909104006497</c:v>
                </c:pt>
                <c:pt idx="344">
                  <c:v>506.57454102324749</c:v>
                </c:pt>
                <c:pt idx="345">
                  <c:v>508.89797146289942</c:v>
                </c:pt>
                <c:pt idx="346">
                  <c:v>511.21929251654126</c:v>
                </c:pt>
                <c:pt idx="347">
                  <c:v>513.53841451614312</c:v>
                </c:pt>
                <c:pt idx="348">
                  <c:v>515.85524905241698</c:v>
                </c:pt>
                <c:pt idx="349">
                  <c:v>518.1697100568997</c:v>
                </c:pt>
                <c:pt idx="350">
                  <c:v>520.4817127137527</c:v>
                </c:pt>
                <c:pt idx="351">
                  <c:v>522.79117237369076</c:v>
                </c:pt>
                <c:pt idx="352">
                  <c:v>525.09800455413438</c:v>
                </c:pt>
                <c:pt idx="353">
                  <c:v>527.40212493934087</c:v>
                </c:pt>
                <c:pt idx="354">
                  <c:v>529.7034493805146</c:v>
                </c:pt>
                <c:pt idx="355">
                  <c:v>532.00189389589696</c:v>
                </c:pt>
                <c:pt idx="356">
                  <c:v>534.29737467083555</c:v>
                </c:pt>
                <c:pt idx="357">
                  <c:v>536.58980805783335</c:v>
                </c:pt>
                <c:pt idx="358">
                  <c:v>538.87911057657732</c:v>
                </c:pt>
                <c:pt idx="359">
                  <c:v>541.16519891394796</c:v>
                </c:pt>
                <c:pt idx="360">
                  <c:v>543.44801246697205</c:v>
                </c:pt>
                <c:pt idx="361">
                  <c:v>545.72753583676149</c:v>
                </c:pt>
                <c:pt idx="362">
                  <c:v>548.00377618798007</c:v>
                </c:pt>
                <c:pt idx="363">
                  <c:v>550.27674065739689</c:v>
                </c:pt>
                <c:pt idx="364">
                  <c:v>552.5464363540309</c:v>
                </c:pt>
                <c:pt idx="365">
                  <c:v>554.81287035929472</c:v>
                </c:pt>
                <c:pt idx="366">
                  <c:v>557.07604972713705</c:v>
                </c:pt>
                <c:pt idx="367">
                  <c:v>559.33598148418446</c:v>
                </c:pt>
                <c:pt idx="368">
                  <c:v>561.59267262988249</c:v>
                </c:pt>
                <c:pt idx="369">
                  <c:v>563.84613013663511</c:v>
                </c:pt>
                <c:pt idx="370">
                  <c:v>566.09636094994414</c:v>
                </c:pt>
                <c:pt idx="371">
                  <c:v>568.34337198854701</c:v>
                </c:pt>
                <c:pt idx="372">
                  <c:v>570.58717014455419</c:v>
                </c:pt>
                <c:pt idx="373">
                  <c:v>572.82776228358534</c:v>
                </c:pt>
                <c:pt idx="374">
                  <c:v>575.06515524490487</c:v>
                </c:pt>
                <c:pt idx="375">
                  <c:v>577.29935584155646</c:v>
                </c:pt>
                <c:pt idx="376">
                  <c:v>579.53037086049665</c:v>
                </c:pt>
                <c:pt idx="377">
                  <c:v>581.75820706272771</c:v>
                </c:pt>
                <c:pt idx="378">
                  <c:v>583.98287118342989</c:v>
                </c:pt>
                <c:pt idx="379">
                  <c:v>586.20436993209216</c:v>
                </c:pt>
                <c:pt idx="380">
                  <c:v>588.42270999264269</c:v>
                </c:pt>
                <c:pt idx="381">
                  <c:v>590.63789802357837</c:v>
                </c:pt>
                <c:pt idx="382">
                  <c:v>592.84994065809326</c:v>
                </c:pt>
                <c:pt idx="383">
                  <c:v>595.0588445042066</c:v>
                </c:pt>
                <c:pt idx="384">
                  <c:v>597.26461614488971</c:v>
                </c:pt>
                <c:pt idx="385">
                  <c:v>599.46726213819215</c:v>
                </c:pt>
                <c:pt idx="386">
                  <c:v>601.66678901736714</c:v>
                </c:pt>
                <c:pt idx="387">
                  <c:v>603.86320329099613</c:v>
                </c:pt>
                <c:pt idx="388">
                  <c:v>606.05651144311264</c:v>
                </c:pt>
                <c:pt idx="389">
                  <c:v>608.24671993332538</c:v>
                </c:pt>
                <c:pt idx="390">
                  <c:v>610.43383519694021</c:v>
                </c:pt>
                <c:pt idx="391">
                  <c:v>612.6178636450818</c:v>
                </c:pt>
                <c:pt idx="392">
                  <c:v>614.79881166481437</c:v>
                </c:pt>
                <c:pt idx="393">
                  <c:v>616.97668561926162</c:v>
                </c:pt>
                <c:pt idx="394">
                  <c:v>619.15149184772565</c:v>
                </c:pt>
                <c:pt idx="395">
                  <c:v>621.32323666580578</c:v>
                </c:pt>
                <c:pt idx="396">
                  <c:v>623.49192636551595</c:v>
                </c:pt>
                <c:pt idx="397">
                  <c:v>625.65756721540185</c:v>
                </c:pt>
                <c:pt idx="398">
                  <c:v>627.82016546065722</c:v>
                </c:pt>
                <c:pt idx="399">
                  <c:v>629.9797273232391</c:v>
                </c:pt>
                <c:pt idx="400">
                  <c:v>632.13625900198269</c:v>
                </c:pt>
                <c:pt idx="401">
                  <c:v>653.53539404675041</c:v>
                </c:pt>
                <c:pt idx="402">
                  <c:v>674.63548225065961</c:v>
                </c:pt>
                <c:pt idx="403">
                  <c:v>695.4425041369102</c:v>
                </c:pt>
                <c:pt idx="404">
                  <c:v>715.96222361986725</c:v>
                </c:pt>
                <c:pt idx="405">
                  <c:v>736.20019831701836</c:v>
                </c:pt>
                <c:pt idx="406">
                  <c:v>756.16178924676285</c:v>
                </c:pt>
                <c:pt idx="407">
                  <c:v>775.85216995563576</c:v>
                </c:pt>
                <c:pt idx="408">
                  <c:v>795.27633511498607</c:v>
                </c:pt>
                <c:pt idx="409">
                  <c:v>814.43910862387588</c:v>
                </c:pt>
                <c:pt idx="410">
                  <c:v>833.3451512520146</c:v>
                </c:pt>
                <c:pt idx="411">
                  <c:v>851.99896785385999</c:v>
                </c:pt>
                <c:pt idx="412">
                  <c:v>870.40491418257523</c:v>
                </c:pt>
                <c:pt idx="413">
                  <c:v>888.56720333030694</c:v>
                </c:pt>
                <c:pt idx="414">
                  <c:v>906.48991181921906</c:v>
                </c:pt>
                <c:pt idx="415">
                  <c:v>924.17698536586602</c:v>
                </c:pt>
                <c:pt idx="416">
                  <c:v>941.63224433979383</c:v>
                </c:pt>
                <c:pt idx="417">
                  <c:v>958.85938893571051</c:v>
                </c:pt>
                <c:pt idx="418">
                  <c:v>975.86200407714568</c:v>
                </c:pt>
                <c:pt idx="419">
                  <c:v>992.64356406822026</c:v>
                </c:pt>
                <c:pt idx="420">
                  <c:v>1009.2074370089531</c:v>
                </c:pt>
                <c:pt idx="421">
                  <c:v>1025.556888988435</c:v>
                </c:pt>
                <c:pt idx="422">
                  <c:v>1041.6950880691913</c:v>
                </c:pt>
                <c:pt idx="423">
                  <c:v>1057.6251080751292</c:v>
                </c:pt>
                <c:pt idx="424">
                  <c:v>1073.3499321946092</c:v>
                </c:pt>
                <c:pt idx="425">
                  <c:v>1088.8724564093955</c:v>
                </c:pt>
                <c:pt idx="426">
                  <c:v>1104.1954927595093</c:v>
                </c:pt>
                <c:pt idx="427">
                  <c:v>1119.3217724533451</c:v>
                </c:pt>
                <c:pt idx="428">
                  <c:v>1134.2539488317827</c:v>
                </c:pt>
                <c:pt idx="429">
                  <c:v>1148.9946001944597</c:v>
                </c:pt>
                <c:pt idx="430">
                  <c:v>1163.5462324958387</c:v>
                </c:pt>
                <c:pt idx="431">
                  <c:v>1177.9112819182071</c:v>
                </c:pt>
                <c:pt idx="432">
                  <c:v>1192.0921173282998</c:v>
                </c:pt>
                <c:pt idx="433">
                  <c:v>1206.0910426238049</c:v>
                </c:pt>
                <c:pt idx="434">
                  <c:v>1219.9102989756268</c:v>
                </c:pt>
                <c:pt idx="435">
                  <c:v>1233.5520669714122</c:v>
                </c:pt>
                <c:pt idx="436">
                  <c:v>1247.0184686655082</c:v>
                </c:pt>
                <c:pt idx="437">
                  <c:v>1260.311569540208</c:v>
                </c:pt>
                <c:pt idx="438">
                  <c:v>1273.4333803828417</c:v>
                </c:pt>
                <c:pt idx="439">
                  <c:v>1286.3858590830041</c:v>
                </c:pt>
                <c:pt idx="440">
                  <c:v>1299.1709123539486</c:v>
                </c:pt>
                <c:pt idx="441">
                  <c:v>1311.7903973819464</c:v>
                </c:pt>
                <c:pt idx="442">
                  <c:v>1324.2461234071841</c:v>
                </c:pt>
                <c:pt idx="443">
                  <c:v>1336.5398532395679</c:v>
                </c:pt>
                <c:pt idx="444">
                  <c:v>1348.6733047126083</c:v>
                </c:pt>
                <c:pt idx="445">
                  <c:v>1360.64815207838</c:v>
                </c:pt>
                <c:pt idx="446">
                  <c:v>1372.4660273463821</c:v>
                </c:pt>
                <c:pt idx="447">
                  <c:v>1384.1285215689654</c:v>
                </c:pt>
                <c:pt idx="448">
                  <c:v>1395.6371860758452</c:v>
                </c:pt>
                <c:pt idx="449">
                  <c:v>1406.9935336600806</c:v>
                </c:pt>
                <c:pt idx="450">
                  <c:v>1418.1990397177699</c:v>
                </c:pt>
                <c:pt idx="451">
                  <c:v>1429.2551433435904</c:v>
                </c:pt>
                <c:pt idx="452">
                  <c:v>1440.1632483841963</c:v>
                </c:pt>
                <c:pt idx="453">
                  <c:v>1450.9247244513811</c:v>
                </c:pt>
                <c:pt idx="454">
                  <c:v>1461.5409078968084</c:v>
                </c:pt>
                <c:pt idx="455">
                  <c:v>1472.0131027500249</c:v>
                </c:pt>
                <c:pt idx="456">
                  <c:v>1482.3425816213714</c:v>
                </c:pt>
                <c:pt idx="457">
                  <c:v>1492.5305865713342</c:v>
                </c:pt>
                <c:pt idx="458">
                  <c:v>1502.5783299477914</c:v>
                </c:pt>
                <c:pt idx="459">
                  <c:v>1512.4869951925396</c:v>
                </c:pt>
                <c:pt idx="460">
                  <c:v>1522.257737618414</c:v>
                </c:pt>
                <c:pt idx="461">
                  <c:v>1531.8916851582489</c:v>
                </c:pt>
                <c:pt idx="462">
                  <c:v>1541.3899390868651</c:v>
                </c:pt>
                <c:pt idx="463">
                  <c:v>1550.7535747172094</c:v>
                </c:pt>
                <c:pt idx="464">
                  <c:v>1559.9836420717181</c:v>
                </c:pt>
                <c:pt idx="465">
                  <c:v>1569.0811665299216</c:v>
                </c:pt>
                <c:pt idx="466">
                  <c:v>1578.047149453261</c:v>
                </c:pt>
                <c:pt idx="467">
                  <c:v>1586.8825687880378</c:v>
                </c:pt>
                <c:pt idx="468">
                  <c:v>1595.5883796473747</c:v>
                </c:pt>
                <c:pt idx="469">
                  <c:v>1604.1655148730251</c:v>
                </c:pt>
                <c:pt idx="470">
                  <c:v>1612.6148855778265</c:v>
                </c:pt>
                <c:pt idx="471">
                  <c:v>1620.9373816695575</c:v>
                </c:pt>
                <c:pt idx="472">
                  <c:v>1629.1338723569229</c:v>
                </c:pt>
                <c:pt idx="473">
                  <c:v>1637.2052066383576</c:v>
                </c:pt>
                <c:pt idx="474">
                  <c:v>1645.1522137743054</c:v>
                </c:pt>
                <c:pt idx="475">
                  <c:v>1652.9757037436036</c:v>
                </c:pt>
                <c:pt idx="476">
                  <c:v>1660.6764676845719</c:v>
                </c:pt>
                <c:pt idx="477">
                  <c:v>1668.2552783213789</c:v>
                </c:pt>
                <c:pt idx="478">
                  <c:v>1675.7128903762325</c:v>
                </c:pt>
                <c:pt idx="479">
                  <c:v>1683.0500409679162</c:v>
                </c:pt>
                <c:pt idx="480">
                  <c:v>1690.2674499971729</c:v>
                </c:pt>
                <c:pt idx="481">
                  <c:v>1697.3658205194104</c:v>
                </c:pt>
                <c:pt idx="482">
                  <c:v>1704.3458391051872</c:v>
                </c:pt>
                <c:pt idx="483">
                  <c:v>1711.2081761889158</c:v>
                </c:pt>
                <c:pt idx="484">
                  <c:v>1717.9534864061973</c:v>
                </c:pt>
                <c:pt idx="485">
                  <c:v>1724.5824089201926</c:v>
                </c:pt>
                <c:pt idx="486">
                  <c:v>1731.0955677374084</c:v>
                </c:pt>
                <c:pt idx="487">
                  <c:v>1737.4935720132667</c:v>
                </c:pt>
                <c:pt idx="488">
                  <c:v>1743.7770163478096</c:v>
                </c:pt>
                <c:pt idx="489">
                  <c:v>1749.9464810718737</c:v>
                </c:pt>
                <c:pt idx="490">
                  <c:v>1756.0025325240588</c:v>
                </c:pt>
                <c:pt idx="491">
                  <c:v>1761.9457233188</c:v>
                </c:pt>
                <c:pt idx="492">
                  <c:v>1767.7765926058394</c:v>
                </c:pt>
                <c:pt idx="493">
                  <c:v>1773.4956663213836</c:v>
                </c:pt>
                <c:pt idx="494">
                  <c:v>1779.1034574312209</c:v>
                </c:pt>
                <c:pt idx="495">
                  <c:v>1784.6004661660593</c:v>
                </c:pt>
                <c:pt idx="496">
                  <c:v>1789.9871802493417</c:v>
                </c:pt>
                <c:pt idx="497">
                  <c:v>1795.2640751177805</c:v>
                </c:pt>
                <c:pt idx="498">
                  <c:v>1800.4316141348445</c:v>
                </c:pt>
                <c:pt idx="499">
                  <c:v>1805.4902487974282</c:v>
                </c:pt>
                <c:pt idx="500">
                  <c:v>1810.4404189359184</c:v>
                </c:pt>
                <c:pt idx="501">
                  <c:v>1815.2825529078721</c:v>
                </c:pt>
                <c:pt idx="502">
                  <c:v>1820.0170677855076</c:v>
                </c:pt>
                <c:pt idx="503">
                  <c:v>1824.6443695372097</c:v>
                </c:pt>
                <c:pt idx="504">
                  <c:v>1829.1648532032395</c:v>
                </c:pt>
                <c:pt idx="505">
                  <c:v>1833.5789030658382</c:v>
                </c:pt>
                <c:pt idx="506">
                  <c:v>1837.8868928139068</c:v>
                </c:pt>
                <c:pt idx="507">
                  <c:v>1842.0891857024446</c:v>
                </c:pt>
                <c:pt idx="508">
                  <c:v>1846.1861347069193</c:v>
                </c:pt>
                <c:pt idx="509">
                  <c:v>1850.1780826727481</c:v>
                </c:pt>
                <c:pt idx="510">
                  <c:v>1854.0653624600616</c:v>
                </c:pt>
                <c:pt idx="511">
                  <c:v>1857.8482970839252</c:v>
                </c:pt>
                <c:pt idx="512">
                  <c:v>1861.5271998501953</c:v>
                </c:pt>
                <c:pt idx="513">
                  <c:v>1865.1023744871854</c:v>
                </c:pt>
                <c:pt idx="514">
                  <c:v>1868.5741152733283</c:v>
                </c:pt>
                <c:pt idx="515">
                  <c:v>1871.942707161021</c:v>
                </c:pt>
                <c:pt idx="516">
                  <c:v>1875.2084258968514</c:v>
                </c:pt>
                <c:pt idx="517">
                  <c:v>1878.3715381384143</c:v>
                </c:pt>
                <c:pt idx="518">
                  <c:v>1881.4323015679408</c:v>
                </c:pt>
                <c:pt idx="519">
                  <c:v>1884.3909650029818</c:v>
                </c:pt>
                <c:pt idx="520">
                  <c:v>1887.2477685044103</c:v>
                </c:pt>
                <c:pt idx="521">
                  <c:v>1890.0029434820349</c:v>
                </c:pt>
                <c:pt idx="522">
                  <c:v>1892.6567127981516</c:v>
                </c:pt>
                <c:pt idx="523">
                  <c:v>1895.2092908694053</c:v>
                </c:pt>
                <c:pt idx="524">
                  <c:v>1897.6608837673834</c:v>
                </c:pt>
                <c:pt idx="525">
                  <c:v>1900.011689318432</c:v>
                </c:pt>
                <c:pt idx="526">
                  <c:v>1902.2618972032606</c:v>
                </c:pt>
                <c:pt idx="527">
                  <c:v>1904.4116890570019</c:v>
                </c:pt>
                <c:pt idx="528">
                  <c:v>1906.4612385705093</c:v>
                </c:pt>
                <c:pt idx="529">
                  <c:v>1908.4107115938189</c:v>
                </c:pt>
                <c:pt idx="530">
                  <c:v>1910.260266242879</c:v>
                </c:pt>
                <c:pt idx="531">
                  <c:v>1912.0100530108571</c:v>
                </c:pt>
                <c:pt idx="532">
                  <c:v>1913.6602148855902</c:v>
                </c:pt>
                <c:pt idx="533">
                  <c:v>1915.2108874750452</c:v>
                </c:pt>
                <c:pt idx="534">
                  <c:v>1916.6621991430081</c:v>
                </c:pt>
                <c:pt idx="535">
                  <c:v>1918.0142711576364</c:v>
                </c:pt>
                <c:pt idx="536">
                  <c:v>1919.2672178559733</c:v>
                </c:pt>
                <c:pt idx="537">
                  <c:v>1920.421146828048</c:v>
                </c:pt>
                <c:pt idx="538">
                  <c:v>1921.47615912473</c:v>
                </c:pt>
                <c:pt idx="539">
                  <c:v>1922.4323494940593</c:v>
                </c:pt>
                <c:pt idx="540">
                  <c:v>1923.2898066512682</c:v>
                </c:pt>
                <c:pt idx="541">
                  <c:v>1924.0486135880608</c:v>
                </c:pt>
                <c:pt idx="542">
                  <c:v>1924.7088479268193</c:v>
                </c:pt>
                <c:pt idx="543">
                  <c:v>1925.2705823251067</c:v>
                </c:pt>
                <c:pt idx="544">
                  <c:v>1925.7338849349876</c:v>
                </c:pt>
                <c:pt idx="545">
                  <c:v>1926.098819920139</c:v>
                </c:pt>
                <c:pt idx="546">
                  <c:v>1926.3654480313908</c:v>
                </c:pt>
                <c:pt idx="547">
                  <c:v>1926.5338272382439</c:v>
                </c:pt>
                <c:pt idx="548">
                  <c:v>1926.6040134102664</c:v>
                </c:pt>
                <c:pt idx="549">
                  <c:v>1926.5760610384211</c:v>
                </c:pt>
                <c:pt idx="550">
                  <c:v>1926.4500239828867</c:v>
                </c:pt>
                <c:pt idx="551">
                  <c:v>1926.2259562313372</c:v>
                </c:pt>
                <c:pt idx="552">
                  <c:v>1925.9039126504497</c:v>
                </c:pt>
                <c:pt idx="553">
                  <c:v>1925.4839497138166</c:v>
                </c:pt>
                <c:pt idx="554">
                  <c:v>1924.9661261913986</c:v>
                </c:pt>
                <c:pt idx="555">
                  <c:v>1924.3505037887717</c:v>
                </c:pt>
                <c:pt idx="556">
                  <c:v>1923.6371477281789</c:v>
                </c:pt>
                <c:pt idx="557">
                  <c:v>1922.8261272672082</c:v>
                </c:pt>
                <c:pt idx="558">
                  <c:v>1921.9175161543301</c:v>
                </c:pt>
                <c:pt idx="559">
                  <c:v>1920.9113930232534</c:v>
                </c:pt>
                <c:pt idx="560">
                  <c:v>1919.8078417299937</c:v>
                </c:pt>
                <c:pt idx="561">
                  <c:v>1918.6069516377181</c:v>
                </c:pt>
                <c:pt idx="562">
                  <c:v>1917.308817854982</c:v>
                </c:pt>
                <c:pt idx="563">
                  <c:v>1915.913541433034</c:v>
                </c:pt>
                <c:pt idx="564">
                  <c:v>1914.4212295276163</c:v>
                </c:pt>
                <c:pt idx="565">
                  <c:v>1912.8319955302391</c:v>
                </c:pt>
                <c:pt idx="566">
                  <c:v>1911.1459591733683</c:v>
                </c:pt>
                <c:pt idx="567">
                  <c:v>1909.3632466134022</c:v>
                </c:pt>
                <c:pt idx="568">
                  <c:v>1907.4839904947689</c:v>
                </c:pt>
                <c:pt idx="569">
                  <c:v>1905.508329997974</c:v>
                </c:pt>
                <c:pt idx="570">
                  <c:v>1903.4364108739844</c:v>
                </c:pt>
                <c:pt idx="571">
                  <c:v>1901.2683854669472</c:v>
                </c:pt>
                <c:pt idx="572">
                  <c:v>1899.0044127269102</c:v>
                </c:pt>
                <c:pt idx="573">
                  <c:v>1896.6446582139386</c:v>
                </c:pt>
                <c:pt idx="574">
                  <c:v>1894.1892940947776</c:v>
                </c:pt>
                <c:pt idx="575">
                  <c:v>1891.6384991330322</c:v>
                </c:pt>
                <c:pt idx="576">
                  <c:v>1888.9924586736595</c:v>
                </c:pt>
                <c:pt idx="577">
                  <c:v>1886.2513646224493</c:v>
                </c:pt>
                <c:pt idx="578">
                  <c:v>1883.4154154210496</c:v>
                </c:pt>
                <c:pt idx="579">
                  <c:v>1880.4848160180125</c:v>
                </c:pt>
                <c:pt idx="580">
                  <c:v>1877.459777836254</c:v>
                </c:pt>
                <c:pt idx="581">
                  <c:v>1874.3405187372655</c:v>
                </c:pt>
                <c:pt idx="582">
                  <c:v>1871.127262982362</c:v>
                </c:pt>
                <c:pt idx="583">
                  <c:v>1867.8202411912127</c:v>
                </c:pt>
                <c:pt idx="584">
                  <c:v>1864.4196902978604</c:v>
                </c:pt>
                <c:pt idx="585">
                  <c:v>1860.9258535044144</c:v>
                </c:pt>
                <c:pt idx="586">
                  <c:v>1857.3389802325721</c:v>
                </c:pt>
                <c:pt idx="587">
                  <c:v>1853.6593260731083</c:v>
                </c:pt>
                <c:pt idx="588">
                  <c:v>1849.8871527334529</c:v>
                </c:pt>
                <c:pt idx="589">
                  <c:v>1846.0227279834653</c:v>
                </c:pt>
                <c:pt idx="590">
                  <c:v>1842.0663255995005</c:v>
                </c:pt>
                <c:pt idx="591">
                  <c:v>1838.018225306856</c:v>
                </c:pt>
                <c:pt idx="592">
                  <c:v>1833.8787127206756</c:v>
                </c:pt>
                <c:pt idx="593">
                  <c:v>1829.6480792853833</c:v>
                </c:pt>
                <c:pt idx="594">
                  <c:v>1825.3266222127129</c:v>
                </c:pt>
                <c:pt idx="595">
                  <c:v>1820.9146444183946</c:v>
                </c:pt>
                <c:pt idx="596">
                  <c:v>1816.4124544575561</c:v>
                </c:pt>
                <c:pt idx="597">
                  <c:v>1811.8203664588918</c:v>
                </c:pt>
                <c:pt idx="598">
                  <c:v>1807.1387000576501</c:v>
                </c:pt>
                <c:pt idx="599">
                  <c:v>1802.3677803274886</c:v>
                </c:pt>
                <c:pt idx="600">
                  <c:v>1797.5079377112415</c:v>
                </c:pt>
                <c:pt idx="601">
                  <c:v>1792.5595079506459</c:v>
                </c:pt>
                <c:pt idx="602">
                  <c:v>1787.5228320150661</c:v>
                </c:pt>
                <c:pt idx="603">
                  <c:v>1782.3982560292618</c:v>
                </c:pt>
                <c:pt idx="604">
                  <c:v>1777.1861312002361</c:v>
                </c:pt>
                <c:pt idx="605">
                  <c:v>1771.8868137432066</c:v>
                </c:pt>
                <c:pt idx="606">
                  <c:v>1766.5006648067342</c:v>
                </c:pt>
                <c:pt idx="607">
                  <c:v>1761.0280503970494</c:v>
                </c:pt>
                <c:pt idx="608">
                  <c:v>1755.4693413016128</c:v>
                </c:pt>
                <c:pt idx="609">
                  <c:v>1749.8249130119464</c:v>
                </c:pt>
                <c:pt idx="610">
                  <c:v>1744.0951456457697</c:v>
                </c:pt>
                <c:pt idx="611">
                  <c:v>1738.2804238684782</c:v>
                </c:pt>
                <c:pt idx="612">
                  <c:v>1732.3811368139982</c:v>
                </c:pt>
                <c:pt idx="613">
                  <c:v>1726.3976780050521</c:v>
                </c:pt>
                <c:pt idx="614">
                  <c:v>1720.3304452728692</c:v>
                </c:pt>
                <c:pt idx="615">
                  <c:v>1714.1798406763753</c:v>
                </c:pt>
                <c:pt idx="616">
                  <c:v>1707.9462704208943</c:v>
                </c:pt>
                <c:pt idx="617">
                  <c:v>1701.6301447763958</c:v>
                </c:pt>
                <c:pt idx="618">
                  <c:v>1695.2318779953216</c:v>
                </c:pt>
                <c:pt idx="619">
                  <c:v>1688.7518882300226</c:v>
                </c:pt>
                <c:pt idx="620">
                  <c:v>1682.1905974498395</c:v>
                </c:pt>
                <c:pt idx="621">
                  <c:v>1675.5484313578595</c:v>
                </c:pt>
                <c:pt idx="622">
                  <c:v>1668.8258193073791</c:v>
                </c:pt>
                <c:pt idx="623">
                  <c:v>1662.0231942181076</c:v>
                </c:pt>
                <c:pt idx="624">
                  <c:v>1655.1409924921395</c:v>
                </c:pt>
                <c:pt idx="625">
                  <c:v>1648.1796539297277</c:v>
                </c:pt>
                <c:pt idx="626">
                  <c:v>1641.1396216448893</c:v>
                </c:pt>
                <c:pt idx="627">
                  <c:v>1634.0213419808729</c:v>
                </c:pt>
                <c:pt idx="628">
                  <c:v>1626.8252644255183</c:v>
                </c:pt>
                <c:pt idx="629">
                  <c:v>1619.5518415265374</c:v>
                </c:pt>
                <c:pt idx="630">
                  <c:v>1612.2015288067471</c:v>
                </c:pt>
                <c:pt idx="631">
                  <c:v>1604.7747846792822</c:v>
                </c:pt>
                <c:pt idx="632">
                  <c:v>1597.2720703628174</c:v>
                </c:pt>
                <c:pt idx="633">
                  <c:v>1589.693849796827</c:v>
                </c:pt>
                <c:pt idx="634">
                  <c:v>1582.0405895569095</c:v>
                </c:pt>
                <c:pt idx="635">
                  <c:v>1574.3127587702068</c:v>
                </c:pt>
                <c:pt idx="636">
                  <c:v>1566.5108290309433</c:v>
                </c:pt>
                <c:pt idx="637">
                  <c:v>1558.6352743161124</c:v>
                </c:pt>
                <c:pt idx="638">
                  <c:v>1550.6865709013373</c:v>
                </c:pt>
                <c:pt idx="639">
                  <c:v>1542.665197276933</c:v>
                </c:pt>
                <c:pt idx="640">
                  <c:v>1534.5716340641932</c:v>
                </c:pt>
                <c:pt idx="641">
                  <c:v>1526.4063639319299</c:v>
                </c:pt>
                <c:pt idx="642">
                  <c:v>1518.1698715132891</c:v>
                </c:pt>
                <c:pt idx="643">
                  <c:v>1509.8626433228674</c:v>
                </c:pt>
                <c:pt idx="644">
                  <c:v>1501.4851676741537</c:v>
                </c:pt>
                <c:pt idx="645">
                  <c:v>1493.0379345973206</c:v>
                </c:pt>
                <c:pt idx="646">
                  <c:v>1484.5214357573868</c:v>
                </c:pt>
                <c:pt idx="647">
                  <c:v>1475.9361643727755</c:v>
                </c:pt>
                <c:pt idx="648">
                  <c:v>1467.2826151342886</c:v>
                </c:pt>
                <c:pt idx="649">
                  <c:v>1458.5612841245211</c:v>
                </c:pt>
                <c:pt idx="650">
                  <c:v>1449.7726687377358</c:v>
                </c:pt>
                <c:pt idx="651">
                  <c:v>1440.9172676002188</c:v>
                </c:pt>
                <c:pt idx="652">
                  <c:v>1431.9955804911372</c:v>
                </c:pt>
                <c:pt idx="653">
                  <c:v>1423.0081082639185</c:v>
                </c:pt>
                <c:pt idx="654">
                  <c:v>1413.9553527681715</c:v>
                </c:pt>
                <c:pt idx="655">
                  <c:v>1404.8378167721662</c:v>
                </c:pt>
                <c:pt idx="656">
                  <c:v>1395.6560038858945</c:v>
                </c:pt>
                <c:pt idx="657">
                  <c:v>1386.4104184847258</c:v>
                </c:pt>
                <c:pt idx="658">
                  <c:v>1377.1015656336772</c:v>
                </c:pt>
                <c:pt idx="659">
                  <c:v>1367.7299510123153</c:v>
                </c:pt>
                <c:pt idx="660">
                  <c:v>1358.2960808403056</c:v>
                </c:pt>
                <c:pt idx="661">
                  <c:v>1348.8004618036257</c:v>
                </c:pt>
                <c:pt idx="662">
                  <c:v>1339.2436009814562</c:v>
                </c:pt>
                <c:pt idx="663">
                  <c:v>1329.6260057737679</c:v>
                </c:pt>
                <c:pt idx="664">
                  <c:v>1319.9481838296163</c:v>
                </c:pt>
                <c:pt idx="665">
                  <c:v>1310.2106429761586</c:v>
                </c:pt>
                <c:pt idx="666">
                  <c:v>1300.4138911484079</c:v>
                </c:pt>
                <c:pt idx="667">
                  <c:v>1290.5584363197338</c:v>
                </c:pt>
                <c:pt idx="668">
                  <c:v>1280.644786433128</c:v>
                </c:pt>
                <c:pt idx="669">
                  <c:v>1270.6734493332401</c:v>
                </c:pt>
                <c:pt idx="670">
                  <c:v>1260.6449326991994</c:v>
                </c:pt>
                <c:pt idx="671">
                  <c:v>1250.5597439782334</c:v>
                </c:pt>
                <c:pt idx="672">
                  <c:v>1240.4183903200906</c:v>
                </c:pt>
                <c:pt idx="673">
                  <c:v>1230.2213785122804</c:v>
                </c:pt>
                <c:pt idx="674">
                  <c:v>1219.969214916139</c:v>
                </c:pt>
                <c:pt idx="675">
                  <c:v>1209.6624054037288</c:v>
                </c:pt>
                <c:pt idx="676">
                  <c:v>1199.3014552955819</c:v>
                </c:pt>
                <c:pt idx="677">
                  <c:v>1188.8868692992935</c:v>
                </c:pt>
                <c:pt idx="678">
                  <c:v>1178.4191514489748</c:v>
                </c:pt>
                <c:pt idx="679">
                  <c:v>1167.8988050455707</c:v>
                </c:pt>
                <c:pt idx="680">
                  <c:v>1157.3263325980502</c:v>
                </c:pt>
                <c:pt idx="681">
                  <c:v>1146.7022357654744</c:v>
                </c:pt>
                <c:pt idx="682">
                  <c:v>1136.0270152999492</c:v>
                </c:pt>
                <c:pt idx="683">
                  <c:v>1125.3011709904663</c:v>
                </c:pt>
                <c:pt idx="684">
                  <c:v>1114.5252016076386</c:v>
                </c:pt>
                <c:pt idx="685">
                  <c:v>1103.6996048493329</c:v>
                </c:pt>
                <c:pt idx="686">
                  <c:v>1092.8248772872055</c:v>
                </c:pt>
                <c:pt idx="687">
                  <c:v>1081.9015143141417</c:v>
                </c:pt>
                <c:pt idx="688">
                  <c:v>1070.9300100926052</c:v>
                </c:pt>
                <c:pt idx="689">
                  <c:v>1059.9108575038981</c:v>
                </c:pt>
                <c:pt idx="690">
                  <c:v>1048.8445480983321</c:v>
                </c:pt>
                <c:pt idx="691">
                  <c:v>1037.7315720463166</c:v>
                </c:pt>
                <c:pt idx="692">
                  <c:v>1026.5724180903624</c:v>
                </c:pt>
                <c:pt idx="693">
                  <c:v>1015.3675734980013</c:v>
                </c:pt>
                <c:pt idx="694">
                  <c:v>1004.1175240156247</c:v>
                </c:pt>
                <c:pt idx="695">
                  <c:v>992.82275382323849</c:v>
                </c:pt>
                <c:pt idx="696">
                  <c:v>981.48374549013693</c:v>
                </c:pt>
                <c:pt idx="697">
                  <c:v>970.10097993149213</c:v>
                </c:pt>
                <c:pt idx="698">
                  <c:v>958.67493636586028</c:v>
                </c:pt>
                <c:pt idx="699">
                  <c:v>947.20609227360205</c:v>
                </c:pt>
                <c:pt idx="700">
                  <c:v>935.69492335621669</c:v>
                </c:pt>
                <c:pt idx="701">
                  <c:v>924.14190349658634</c:v>
                </c:pt>
                <c:pt idx="702">
                  <c:v>912.54750472012961</c:v>
                </c:pt>
                <c:pt idx="703">
                  <c:v>900.91219715686111</c:v>
                </c:pt>
                <c:pt idx="704">
                  <c:v>889.23644900435397</c:v>
                </c:pt>
                <c:pt idx="705">
                  <c:v>877.52072649160266</c:v>
                </c:pt>
                <c:pt idx="706">
                  <c:v>865.76549384378131</c:v>
                </c:pt>
                <c:pt idx="707">
                  <c:v>853.97121324789543</c:v>
                </c:pt>
                <c:pt idx="708">
                  <c:v>842.13834481932122</c:v>
                </c:pt>
                <c:pt idx="709">
                  <c:v>830.26734656922895</c:v>
                </c:pt>
                <c:pt idx="710">
                  <c:v>818.35867437288573</c:v>
                </c:pt>
                <c:pt idx="711">
                  <c:v>806.41278193883238</c:v>
                </c:pt>
                <c:pt idx="712">
                  <c:v>794.43012077892934</c:v>
                </c:pt>
                <c:pt idx="713">
                  <c:v>782.41114017926611</c:v>
                </c:pt>
                <c:pt idx="714">
                  <c:v>770.35628717192878</c:v>
                </c:pt>
                <c:pt idx="715">
                  <c:v>758.26600650761952</c:v>
                </c:pt>
                <c:pt idx="716">
                  <c:v>746.14074062912164</c:v>
                </c:pt>
                <c:pt idx="717">
                  <c:v>733.98092964560465</c:v>
                </c:pt>
                <c:pt idx="718">
                  <c:v>721.78701130776165</c:v>
                </c:pt>
                <c:pt idx="719">
                  <c:v>709.55942098377329</c:v>
                </c:pt>
                <c:pt idx="720">
                  <c:v>697.29859163609115</c:v>
                </c:pt>
                <c:pt idx="721">
                  <c:v>685.00495379903271</c:v>
                </c:pt>
                <c:pt idx="722">
                  <c:v>672.67893555718103</c:v>
                </c:pt>
                <c:pt idx="723">
                  <c:v>660.32096252458246</c:v>
                </c:pt>
                <c:pt idx="724">
                  <c:v>647.93145782473323</c:v>
                </c:pt>
                <c:pt idx="725">
                  <c:v>635.51084207134818</c:v>
                </c:pt>
                <c:pt idx="726">
                  <c:v>623.0595333499034</c:v>
                </c:pt>
                <c:pt idx="727">
                  <c:v>610.57794719994445</c:v>
                </c:pt>
                <c:pt idx="728">
                  <c:v>598.06649659815241</c:v>
                </c:pt>
                <c:pt idx="729">
                  <c:v>585.52559194215905</c:v>
                </c:pt>
                <c:pt idx="730">
                  <c:v>572.95564103510253</c:v>
                </c:pt>
                <c:pt idx="731">
                  <c:v>560.35704907091588</c:v>
                </c:pt>
                <c:pt idx="732">
                  <c:v>547.73021862033795</c:v>
                </c:pt>
                <c:pt idx="733">
                  <c:v>535.07554961764004</c:v>
                </c:pt>
                <c:pt idx="734">
                  <c:v>522.39343934805765</c:v>
                </c:pt>
                <c:pt idx="735">
                  <c:v>509.68428243591944</c:v>
                </c:pt>
                <c:pt idx="736">
                  <c:v>496.94847083346383</c:v>
                </c:pt>
                <c:pt idx="737">
                  <c:v>484.18639381033415</c:v>
                </c:pt>
                <c:pt idx="738">
                  <c:v>471.39843794374332</c:v>
                </c:pt>
                <c:pt idx="739">
                  <c:v>458.58498710929871</c:v>
                </c:pt>
                <c:pt idx="740">
                  <c:v>445.74642247247806</c:v>
                </c:pt>
                <c:pt idx="741">
                  <c:v>432.88312248074652</c:v>
                </c:pt>
                <c:pt idx="742">
                  <c:v>419.99546285630623</c:v>
                </c:pt>
                <c:pt idx="743">
                  <c:v>407.0838165894682</c:v>
                </c:pt>
                <c:pt idx="744">
                  <c:v>394.14855393263758</c:v>
                </c:pt>
                <c:pt idx="745">
                  <c:v>381.19004239490249</c:v>
                </c:pt>
                <c:pt idx="746">
                  <c:v>368.20864673721695</c:v>
                </c:pt>
                <c:pt idx="747">
                  <c:v>355.20472896816852</c:v>
                </c:pt>
                <c:pt idx="748">
                  <c:v>342.17864834032065</c:v>
                </c:pt>
                <c:pt idx="749">
                  <c:v>329.13076134712071</c:v>
                </c:pt>
                <c:pt idx="750">
                  <c:v>316.06142172036385</c:v>
                </c:pt>
                <c:pt idx="751">
                  <c:v>302.97098042820272</c:v>
                </c:pt>
                <c:pt idx="752">
                  <c:v>289.85978567369443</c:v>
                </c:pt>
                <c:pt idx="753">
                  <c:v>276.72818289387408</c:v>
                </c:pt>
                <c:pt idx="754">
                  <c:v>263.57651475934608</c:v>
                </c:pt>
                <c:pt idx="755">
                  <c:v>250.40512117438362</c:v>
                </c:pt>
                <c:pt idx="756">
                  <c:v>237.21433927752619</c:v>
                </c:pt>
                <c:pt idx="757">
                  <c:v>224.00450344266642</c:v>
                </c:pt>
                <c:pt idx="758">
                  <c:v>210.77594528061636</c:v>
                </c:pt>
                <c:pt idx="759">
                  <c:v>197.52899364114376</c:v>
                </c:pt>
                <c:pt idx="760">
                  <c:v>184.26397461546912</c:v>
                </c:pt>
                <c:pt idx="761">
                  <c:v>170.98121153921414</c:v>
                </c:pt>
                <c:pt idx="762">
                  <c:v>157.68102499579197</c:v>
                </c:pt>
                <c:pt idx="763">
                  <c:v>144.36373282023041</c:v>
                </c:pt>
                <c:pt idx="764">
                  <c:v>131.02965010341862</c:v>
                </c:pt>
                <c:pt idx="765">
                  <c:v>117.67908919676805</c:v>
                </c:pt>
                <c:pt idx="766">
                  <c:v>104.31235971727882</c:v>
                </c:pt>
                <c:pt idx="767">
                  <c:v>90.929768553002205</c:v>
                </c:pt>
                <c:pt idx="768">
                  <c:v>77.531619868890274</c:v>
                </c:pt>
                <c:pt idx="769">
                  <c:v>64.118215113023922</c:v>
                </c:pt>
                <c:pt idx="770">
                  <c:v>50.689853023210226</c:v>
                </c:pt>
                <c:pt idx="771">
                  <c:v>37.246829633940479</c:v>
                </c:pt>
                <c:pt idx="772">
                  <c:v>23.789438283700058</c:v>
                </c:pt>
                <c:pt idx="773">
                  <c:v>10.317969622621556</c:v>
                </c:pt>
                <c:pt idx="774">
                  <c:v>-3.1672883795274487</c:v>
                </c:pt>
                <c:pt idx="775">
                  <c:v>-3.1807804672232578</c:v>
                </c:pt>
                <c:pt idx="776">
                  <c:v>-3.1942725682809878</c:v>
                </c:pt>
                <c:pt idx="777">
                  <c:v>-3.2077646827003581</c:v>
                </c:pt>
                <c:pt idx="778">
                  <c:v>-3.2212568104810879</c:v>
                </c:pt>
                <c:pt idx="779">
                  <c:v>-3.2347489516228962</c:v>
                </c:pt>
                <c:pt idx="780">
                  <c:v>-3.2482411061255019</c:v>
                </c:pt>
                <c:pt idx="781">
                  <c:v>-3.2617332739886242</c:v>
                </c:pt>
                <c:pt idx="782">
                  <c:v>-3.2752254552119826</c:v>
                </c:pt>
                <c:pt idx="783">
                  <c:v>-3.2887176497952959</c:v>
                </c:pt>
                <c:pt idx="784">
                  <c:v>-3.3022098577382835</c:v>
                </c:pt>
                <c:pt idx="785">
                  <c:v>-3.3157020790406646</c:v>
                </c:pt>
                <c:pt idx="786">
                  <c:v>-3.3291943137021582</c:v>
                </c:pt>
                <c:pt idx="787">
                  <c:v>-3.3426865617224837</c:v>
                </c:pt>
                <c:pt idx="788">
                  <c:v>-3.3561788231013598</c:v>
                </c:pt>
                <c:pt idx="789">
                  <c:v>-3.369671097838506</c:v>
                </c:pt>
                <c:pt idx="790">
                  <c:v>-3.3831633859336416</c:v>
                </c:pt>
                <c:pt idx="791">
                  <c:v>-3.3966556873864855</c:v>
                </c:pt>
                <c:pt idx="792">
                  <c:v>-3.410148002196757</c:v>
                </c:pt>
                <c:pt idx="793">
                  <c:v>-3.4236403303641754</c:v>
                </c:pt>
                <c:pt idx="794">
                  <c:v>-3.4371326718884596</c:v>
                </c:pt>
                <c:pt idx="795">
                  <c:v>-3.450625026769329</c:v>
                </c:pt>
                <c:pt idx="796">
                  <c:v>-3.464117395006503</c:v>
                </c:pt>
                <c:pt idx="797">
                  <c:v>-3.4776097765997003</c:v>
                </c:pt>
                <c:pt idx="798">
                  <c:v>-3.4911021715486403</c:v>
                </c:pt>
                <c:pt idx="799">
                  <c:v>-3.5045945798530425</c:v>
                </c:pt>
                <c:pt idx="800">
                  <c:v>-3.5180870015126255</c:v>
                </c:pt>
                <c:pt idx="801">
                  <c:v>-3.5315794365271089</c:v>
                </c:pt>
                <c:pt idx="802">
                  <c:v>-3.5450718848962119</c:v>
                </c:pt>
                <c:pt idx="803">
                  <c:v>-3.5585643466196539</c:v>
                </c:pt>
                <c:pt idx="804">
                  <c:v>-3.5720568216971538</c:v>
                </c:pt>
                <c:pt idx="805">
                  <c:v>-3.5855493101284308</c:v>
                </c:pt>
                <c:pt idx="806">
                  <c:v>-3.5990418119132044</c:v>
                </c:pt>
                <c:pt idx="807">
                  <c:v>-3.6125343270511934</c:v>
                </c:pt>
                <c:pt idx="808">
                  <c:v>-3.6260268555421171</c:v>
                </c:pt>
                <c:pt idx="809">
                  <c:v>-3.639519397385695</c:v>
                </c:pt>
                <c:pt idx="810">
                  <c:v>-3.6530119525816462</c:v>
                </c:pt>
                <c:pt idx="811">
                  <c:v>-3.6665045211296903</c:v>
                </c:pt>
                <c:pt idx="812">
                  <c:v>-3.679997103029546</c:v>
                </c:pt>
                <c:pt idx="813">
                  <c:v>-3.6934896982809327</c:v>
                </c:pt>
                <c:pt idx="814">
                  <c:v>-3.7069823068835697</c:v>
                </c:pt>
                <c:pt idx="815">
                  <c:v>-3.7204749288371759</c:v>
                </c:pt>
                <c:pt idx="816">
                  <c:v>-3.7339675641414711</c:v>
                </c:pt>
                <c:pt idx="817">
                  <c:v>-3.7474602127961743</c:v>
                </c:pt>
                <c:pt idx="818">
                  <c:v>-3.7609528748010046</c:v>
                </c:pt>
                <c:pt idx="819">
                  <c:v>-3.7744455501556815</c:v>
                </c:pt>
                <c:pt idx="820">
                  <c:v>-3.7879382388599239</c:v>
                </c:pt>
                <c:pt idx="821">
                  <c:v>-3.8014309409134515</c:v>
                </c:pt>
                <c:pt idx="822">
                  <c:v>-3.8149236563159832</c:v>
                </c:pt>
                <c:pt idx="823">
                  <c:v>-3.8284163850672384</c:v>
                </c:pt>
                <c:pt idx="824">
                  <c:v>-3.8419091271669363</c:v>
                </c:pt>
                <c:pt idx="825">
                  <c:v>-3.8554018826147964</c:v>
                </c:pt>
                <c:pt idx="826">
                  <c:v>-3.868894651410538</c:v>
                </c:pt>
                <c:pt idx="827">
                  <c:v>-3.8823874335538799</c:v>
                </c:pt>
                <c:pt idx="828">
                  <c:v>-3.895880229044542</c:v>
                </c:pt>
                <c:pt idx="829">
                  <c:v>-3.9093730378822431</c:v>
                </c:pt>
                <c:pt idx="830">
                  <c:v>-3.9228658600667026</c:v>
                </c:pt>
                <c:pt idx="831">
                  <c:v>-3.9363586955976397</c:v>
                </c:pt>
                <c:pt idx="832">
                  <c:v>-3.9498515444747739</c:v>
                </c:pt>
                <c:pt idx="833">
                  <c:v>-3.9633444066978245</c:v>
                </c:pt>
                <c:pt idx="834">
                  <c:v>-3.9768372822665103</c:v>
                </c:pt>
                <c:pt idx="835">
                  <c:v>-3.9903301711805512</c:v>
                </c:pt>
                <c:pt idx="836">
                  <c:v>-4.0038230734396665</c:v>
                </c:pt>
                <c:pt idx="837">
                  <c:v>-4.017315989043575</c:v>
                </c:pt>
                <c:pt idx="838">
                  <c:v>-4.0308089179919966</c:v>
                </c:pt>
                <c:pt idx="839">
                  <c:v>-4.0443018602846497</c:v>
                </c:pt>
                <c:pt idx="840">
                  <c:v>-4.0577948159212545</c:v>
                </c:pt>
                <c:pt idx="841">
                  <c:v>-4.0712877849015303</c:v>
                </c:pt>
                <c:pt idx="842">
                  <c:v>-4.0847807672251957</c:v>
                </c:pt>
                <c:pt idx="843">
                  <c:v>-4.0982737628919708</c:v>
                </c:pt>
                <c:pt idx="844">
                  <c:v>-4.111766771901574</c:v>
                </c:pt>
                <c:pt idx="845">
                  <c:v>-4.1252597942537257</c:v>
                </c:pt>
                <c:pt idx="846">
                  <c:v>-4.1387528299481442</c:v>
                </c:pt>
                <c:pt idx="847">
                  <c:v>-4.1522458789845498</c:v>
                </c:pt>
                <c:pt idx="848">
                  <c:v>-4.1657389413626609</c:v>
                </c:pt>
                <c:pt idx="849">
                  <c:v>-4.1792320170821977</c:v>
                </c:pt>
                <c:pt idx="850">
                  <c:v>-4.1927251061428787</c:v>
                </c:pt>
                <c:pt idx="851">
                  <c:v>-4.2062182085444242</c:v>
                </c:pt>
                <c:pt idx="852">
                  <c:v>-4.2197113242865525</c:v>
                </c:pt>
                <c:pt idx="853">
                  <c:v>-4.233204453368983</c:v>
                </c:pt>
                <c:pt idx="854">
                  <c:v>-4.2466975957914359</c:v>
                </c:pt>
                <c:pt idx="855">
                  <c:v>-4.2601907515536297</c:v>
                </c:pt>
                <c:pt idx="856">
                  <c:v>-4.2736839206552846</c:v>
                </c:pt>
                <c:pt idx="857">
                  <c:v>-4.2871771030961199</c:v>
                </c:pt>
                <c:pt idx="858">
                  <c:v>-4.3006702988758541</c:v>
                </c:pt>
                <c:pt idx="859">
                  <c:v>-4.3141635079942073</c:v>
                </c:pt>
                <c:pt idx="860">
                  <c:v>-4.3276567304508982</c:v>
                </c:pt>
                <c:pt idx="861">
                  <c:v>-4.3411499662456468</c:v>
                </c:pt>
                <c:pt idx="862">
                  <c:v>-4.3546432153781724</c:v>
                </c:pt>
                <c:pt idx="863">
                  <c:v>-4.3681364778481937</c:v>
                </c:pt>
                <c:pt idx="864">
                  <c:v>-4.3816297536554307</c:v>
                </c:pt>
                <c:pt idx="865">
                  <c:v>-4.3951230427996029</c:v>
                </c:pt>
                <c:pt idx="866">
                  <c:v>-4.4086163452804294</c:v>
                </c:pt>
                <c:pt idx="867">
                  <c:v>-4.4221096610976289</c:v>
                </c:pt>
                <c:pt idx="868">
                  <c:v>-4.4356029902509215</c:v>
                </c:pt>
                <c:pt idx="869">
                  <c:v>-4.4490963327400266</c:v>
                </c:pt>
                <c:pt idx="870">
                  <c:v>-4.4625896885646634</c:v>
                </c:pt>
                <c:pt idx="871">
                  <c:v>-4.4760830577245523</c:v>
                </c:pt>
                <c:pt idx="872">
                  <c:v>-4.4895764402194116</c:v>
                </c:pt>
                <c:pt idx="873">
                  <c:v>-4.5030698360489607</c:v>
                </c:pt>
                <c:pt idx="874">
                  <c:v>-4.516563245212919</c:v>
                </c:pt>
                <c:pt idx="875">
                  <c:v>-4.5300566677110066</c:v>
                </c:pt>
                <c:pt idx="876">
                  <c:v>-4.543550103542942</c:v>
                </c:pt>
                <c:pt idx="877">
                  <c:v>-4.5570435527084454</c:v>
                </c:pt>
                <c:pt idx="878">
                  <c:v>-4.5705370152072353</c:v>
                </c:pt>
                <c:pt idx="879">
                  <c:v>-4.5840304910390319</c:v>
                </c:pt>
                <c:pt idx="880">
                  <c:v>-4.5975239802035546</c:v>
                </c:pt>
                <c:pt idx="881">
                  <c:v>-4.6110174827005217</c:v>
                </c:pt>
                <c:pt idx="882">
                  <c:v>-4.6245109985296535</c:v>
                </c:pt>
                <c:pt idx="883">
                  <c:v>-4.6380045276906694</c:v>
                </c:pt>
                <c:pt idx="884">
                  <c:v>-4.6514980701832895</c:v>
                </c:pt>
                <c:pt idx="885">
                  <c:v>-4.6649916260072324</c:v>
                </c:pt>
                <c:pt idx="886">
                  <c:v>-4.6784851951622173</c:v>
                </c:pt>
                <c:pt idx="887">
                  <c:v>-4.6919787776479644</c:v>
                </c:pt>
                <c:pt idx="888">
                  <c:v>-4.7054723734641923</c:v>
                </c:pt>
                <c:pt idx="889">
                  <c:v>-4.7189659826106212</c:v>
                </c:pt>
                <c:pt idx="890">
                  <c:v>-4.7324596050869703</c:v>
                </c:pt>
                <c:pt idx="891">
                  <c:v>-4.745953240892959</c:v>
                </c:pt>
                <c:pt idx="892">
                  <c:v>-4.7594468900283067</c:v>
                </c:pt>
                <c:pt idx="893">
                  <c:v>-4.7729405524927326</c:v>
                </c:pt>
                <c:pt idx="894">
                  <c:v>-4.7864342282859562</c:v>
                </c:pt>
                <c:pt idx="895">
                  <c:v>-4.7999279174076968</c:v>
                </c:pt>
                <c:pt idx="896">
                  <c:v>-4.8134216198576745</c:v>
                </c:pt>
                <c:pt idx="897">
                  <c:v>-4.8269153356356087</c:v>
                </c:pt>
                <c:pt idx="898">
                  <c:v>-4.8404090647412188</c:v>
                </c:pt>
                <c:pt idx="899">
                  <c:v>-4.8539028071742241</c:v>
                </c:pt>
                <c:pt idx="900">
                  <c:v>-4.8673965629343439</c:v>
                </c:pt>
                <c:pt idx="901">
                  <c:v>-4.8808903320212975</c:v>
                </c:pt>
                <c:pt idx="902">
                  <c:v>-4.8943841144348044</c:v>
                </c:pt>
                <c:pt idx="903">
                  <c:v>-4.9078779101745846</c:v>
                </c:pt>
                <c:pt idx="904">
                  <c:v>-4.9213717192403577</c:v>
                </c:pt>
                <c:pt idx="905">
                  <c:v>-4.9348655416318428</c:v>
                </c:pt>
                <c:pt idx="906">
                  <c:v>-4.9483593773487593</c:v>
                </c:pt>
                <c:pt idx="907">
                  <c:v>-4.9618532263908266</c:v>
                </c:pt>
                <c:pt idx="908">
                  <c:v>-4.975347088757764</c:v>
                </c:pt>
                <c:pt idx="909">
                  <c:v>-4.9888409644492917</c:v>
                </c:pt>
                <c:pt idx="910">
                  <c:v>-5.0023348534651291</c:v>
                </c:pt>
                <c:pt idx="911">
                  <c:v>-5.0158287558049945</c:v>
                </c:pt>
                <c:pt idx="912">
                  <c:v>-5.0293226714686092</c:v>
                </c:pt>
                <c:pt idx="913">
                  <c:v>-5.0428166004556916</c:v>
                </c:pt>
                <c:pt idx="914">
                  <c:v>-5.0563105427659609</c:v>
                </c:pt>
                <c:pt idx="915">
                  <c:v>-5.0698044983991375</c:v>
                </c:pt>
                <c:pt idx="916">
                  <c:v>-5.0832984673549406</c:v>
                </c:pt>
                <c:pt idx="917">
                  <c:v>-5.0967924496330896</c:v>
                </c:pt>
                <c:pt idx="918">
                  <c:v>-5.1102864452333039</c:v>
                </c:pt>
                <c:pt idx="919">
                  <c:v>-5.1237804541553036</c:v>
                </c:pt>
                <c:pt idx="920">
                  <c:v>-5.1372744763988072</c:v>
                </c:pt>
                <c:pt idx="921">
                  <c:v>-5.1507685119635349</c:v>
                </c:pt>
                <c:pt idx="922">
                  <c:v>-5.1642625608492061</c:v>
                </c:pt>
                <c:pt idx="923">
                  <c:v>-5.1777566230555401</c:v>
                </c:pt>
                <c:pt idx="924">
                  <c:v>-5.1912506985822571</c:v>
                </c:pt>
                <c:pt idx="925">
                  <c:v>-5.2047447874290764</c:v>
                </c:pt>
                <c:pt idx="926">
                  <c:v>-5.2182388895957175</c:v>
                </c:pt>
                <c:pt idx="927">
                  <c:v>-5.2317330050818995</c:v>
                </c:pt>
                <c:pt idx="928">
                  <c:v>-5.245227133887342</c:v>
                </c:pt>
                <c:pt idx="929">
                  <c:v>-5.258721276011765</c:v>
                </c:pt>
                <c:pt idx="930">
                  <c:v>-5.2722154314548879</c:v>
                </c:pt>
                <c:pt idx="931">
                  <c:v>-5.2857096002164301</c:v>
                </c:pt>
                <c:pt idx="932">
                  <c:v>-5.2992037822961109</c:v>
                </c:pt>
                <c:pt idx="933">
                  <c:v>-5.3126979776936505</c:v>
                </c:pt>
                <c:pt idx="934">
                  <c:v>-5.3261921864087682</c:v>
                </c:pt>
                <c:pt idx="935">
                  <c:v>-5.3396864084411835</c:v>
                </c:pt>
                <c:pt idx="936">
                  <c:v>-5.3531806437906155</c:v>
                </c:pt>
                <c:pt idx="937">
                  <c:v>-5.3666748924567846</c:v>
                </c:pt>
                <c:pt idx="938">
                  <c:v>-5.3801691544394092</c:v>
                </c:pt>
                <c:pt idx="939">
                  <c:v>-5.3936634297382096</c:v>
                </c:pt>
                <c:pt idx="940">
                  <c:v>-5.4071577183529058</c:v>
                </c:pt>
                <c:pt idx="941">
                  <c:v>-5.4206520202832165</c:v>
                </c:pt>
                <c:pt idx="942">
                  <c:v>-5.4341463355288617</c:v>
                </c:pt>
                <c:pt idx="943">
                  <c:v>-5.4476406640895618</c:v>
                </c:pt>
                <c:pt idx="944">
                  <c:v>-5.4611350059650352</c:v>
                </c:pt>
                <c:pt idx="945">
                  <c:v>-5.4746293611550021</c:v>
                </c:pt>
                <c:pt idx="946">
                  <c:v>-5.4881237296591818</c:v>
                </c:pt>
                <c:pt idx="947">
                  <c:v>-5.5016181114772937</c:v>
                </c:pt>
                <c:pt idx="948">
                  <c:v>-5.5151125066090581</c:v>
                </c:pt>
                <c:pt idx="949">
                  <c:v>-5.5286069150541941</c:v>
                </c:pt>
                <c:pt idx="950">
                  <c:v>-5.5421013368124212</c:v>
                </c:pt>
                <c:pt idx="951">
                  <c:v>-5.5555957718834588</c:v>
                </c:pt>
                <c:pt idx="952">
                  <c:v>-5.5690902202670269</c:v>
                </c:pt>
                <c:pt idx="953">
                  <c:v>-5.5825846819628451</c:v>
                </c:pt>
                <c:pt idx="954">
                  <c:v>-5.5960791569706325</c:v>
                </c:pt>
                <c:pt idx="955">
                  <c:v>-5.6095736452901095</c:v>
                </c:pt>
                <c:pt idx="956">
                  <c:v>-5.6230681469209953</c:v>
                </c:pt>
                <c:pt idx="957">
                  <c:v>-5.6365626618630094</c:v>
                </c:pt>
                <c:pt idx="958">
                  <c:v>-5.6500571901158718</c:v>
                </c:pt>
                <c:pt idx="959">
                  <c:v>-5.663551731679302</c:v>
                </c:pt>
                <c:pt idx="960">
                  <c:v>-5.6770462865530193</c:v>
                </c:pt>
                <c:pt idx="961">
                  <c:v>-5.690540854736744</c:v>
                </c:pt>
                <c:pt idx="962">
                  <c:v>-5.7040354362301953</c:v>
                </c:pt>
                <c:pt idx="963">
                  <c:v>-5.7175300310330925</c:v>
                </c:pt>
                <c:pt idx="964">
                  <c:v>-5.731024639145156</c:v>
                </c:pt>
                <c:pt idx="965">
                  <c:v>-5.7445192605661051</c:v>
                </c:pt>
                <c:pt idx="966">
                  <c:v>-5.758013895295659</c:v>
                </c:pt>
                <c:pt idx="967">
                  <c:v>-5.771508543333538</c:v>
                </c:pt>
                <c:pt idx="968">
                  <c:v>-5.7850032046794606</c:v>
                </c:pt>
                <c:pt idx="969">
                  <c:v>-5.7984978793331479</c:v>
                </c:pt>
                <c:pt idx="970">
                  <c:v>-5.8119925672943182</c:v>
                </c:pt>
                <c:pt idx="971">
                  <c:v>-5.8254872685626928</c:v>
                </c:pt>
                <c:pt idx="972">
                  <c:v>-5.8389819831379901</c:v>
                </c:pt>
                <c:pt idx="973">
                  <c:v>-5.8524767110199303</c:v>
                </c:pt>
                <c:pt idx="974">
                  <c:v>-5.8659714522082327</c:v>
                </c:pt>
                <c:pt idx="975">
                  <c:v>-5.8794662067026167</c:v>
                </c:pt>
                <c:pt idx="976">
                  <c:v>-5.8929609745028024</c:v>
                </c:pt>
                <c:pt idx="977">
                  <c:v>-5.9064557556085093</c:v>
                </c:pt>
                <c:pt idx="978">
                  <c:v>-5.9199505500194576</c:v>
                </c:pt>
                <c:pt idx="979">
                  <c:v>-5.9334453577353665</c:v>
                </c:pt>
                <c:pt idx="980">
                  <c:v>-5.9469401787559555</c:v>
                </c:pt>
                <c:pt idx="981">
                  <c:v>-5.9604350130809447</c:v>
                </c:pt>
                <c:pt idx="982">
                  <c:v>-5.9739298607100535</c:v>
                </c:pt>
                <c:pt idx="983">
                  <c:v>-5.9874247216430021</c:v>
                </c:pt>
                <c:pt idx="984">
                  <c:v>-6.0009195958795098</c:v>
                </c:pt>
                <c:pt idx="985">
                  <c:v>-6.0144144834192961</c:v>
                </c:pt>
                <c:pt idx="986">
                  <c:v>-6.027909384262081</c:v>
                </c:pt>
                <c:pt idx="987">
                  <c:v>-6.041404298407584</c:v>
                </c:pt>
                <c:pt idx="988">
                  <c:v>-6.0548992258555243</c:v>
                </c:pt>
                <c:pt idx="989">
                  <c:v>-6.0683941666056223</c:v>
                </c:pt>
                <c:pt idx="990">
                  <c:v>-6.081889120657598</c:v>
                </c:pt>
                <c:pt idx="991">
                  <c:v>-6.09538408801117</c:v>
                </c:pt>
                <c:pt idx="992">
                  <c:v>-6.1088790686660586</c:v>
                </c:pt>
                <c:pt idx="993">
                  <c:v>-6.1223740626219838</c:v>
                </c:pt>
                <c:pt idx="994">
                  <c:v>-6.1358690698786651</c:v>
                </c:pt>
                <c:pt idx="995">
                  <c:v>-6.1493640904358227</c:v>
                </c:pt>
                <c:pt idx="996">
                  <c:v>-6.162859124293175</c:v>
                </c:pt>
                <c:pt idx="997">
                  <c:v>-6.1763541714504431</c:v>
                </c:pt>
                <c:pt idx="998">
                  <c:v>-6.1898492319073455</c:v>
                </c:pt>
                <c:pt idx="999">
                  <c:v>-6.2033443056636033</c:v>
                </c:pt>
                <c:pt idx="1000">
                  <c:v>-6.2168393927189349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B-6442-AFEC-07E56791BA28}"/>
            </c:ext>
          </c:extLst>
        </c:ser>
        <c:ser>
          <c:idx val="2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1.1575008333550919E-5</c:v>
                </c:pt>
                <c:pt idx="2">
                  <c:v>1.5465489219880008E-4</c:v>
                </c:pt>
                <c:pt idx="3">
                  <c:v>6.4602359700519411E-4</c:v>
                </c:pt>
                <c:pt idx="4">
                  <c:v>1.7026534988934978E-3</c:v>
                </c:pt>
                <c:pt idx="5">
                  <c:v>3.5417848542089146E-3</c:v>
                </c:pt>
                <c:pt idx="6">
                  <c:v>6.3260476542593772E-3</c:v>
                </c:pt>
                <c:pt idx="7">
                  <c:v>1.0108416120635464E-2</c:v>
                </c:pt>
                <c:pt idx="8">
                  <c:v>1.4886966115561714E-2</c:v>
                </c:pt>
                <c:pt idx="9">
                  <c:v>2.0659760456411769E-2</c:v>
                </c:pt>
                <c:pt idx="10">
                  <c:v>2.7424848953685237E-2</c:v>
                </c:pt>
                <c:pt idx="11">
                  <c:v>3.5180268449625525E-2</c:v>
                </c:pt>
                <c:pt idx="12">
                  <c:v>4.3924042857475185E-2</c:v>
                </c:pt>
                <c:pt idx="13">
                  <c:v>5.3654183201365099E-2</c:v>
                </c:pt>
                <c:pt idx="14">
                  <c:v>6.4368687656833928E-2</c:v>
                </c:pt>
                <c:pt idx="15">
                  <c:v>7.6065541591974054E-2</c:v>
                </c:pt>
                <c:pt idx="16">
                  <c:v>8.8742717609200189E-2</c:v>
                </c:pt>
                <c:pt idx="17">
                  <c:v>0.10239817558763686</c:v>
                </c:pt>
                <c:pt idx="18">
                  <c:v>0.11702986272612073</c:v>
                </c:pt>
                <c:pt idx="19">
                  <c:v>0.13263571358681378</c:v>
                </c:pt>
                <c:pt idx="20">
                  <c:v>0.14921365013942328</c:v>
                </c:pt>
                <c:pt idx="21">
                  <c:v>0.16676158180602449</c:v>
                </c:pt>
                <c:pt idx="22">
                  <c:v>0.18527740550648159</c:v>
                </c:pt>
                <c:pt idx="23">
                  <c:v>0.20475900570446287</c:v>
                </c:pt>
                <c:pt idx="24">
                  <c:v>0.22520425445404574</c:v>
                </c:pt>
                <c:pt idx="25">
                  <c:v>0.246611011446907</c:v>
                </c:pt>
                <c:pt idx="26">
                  <c:v>0.268977124060094</c:v>
                </c:pt>
                <c:pt idx="27">
                  <c:v>0.29230042740437223</c:v>
                </c:pt>
                <c:pt idx="28">
                  <c:v>0.3165787443731447</c:v>
                </c:pt>
                <c:pt idx="29">
                  <c:v>0.3418098856919381</c:v>
                </c:pt>
                <c:pt idx="30">
                  <c:v>0.36799164996845168</c:v>
                </c:pt>
                <c:pt idx="31">
                  <c:v>0.39516443635950987</c:v>
                </c:pt>
                <c:pt idx="32">
                  <c:v>0.42337019462833253</c:v>
                </c:pt>
                <c:pt idx="33">
                  <c:v>0.45260978459303747</c:v>
                </c:pt>
                <c:pt idx="34">
                  <c:v>0.48288397474011274</c:v>
                </c:pt>
                <c:pt idx="35">
                  <c:v>0.51419342181869698</c:v>
                </c:pt>
                <c:pt idx="36">
                  <c:v>0.54653867660011435</c:v>
                </c:pt>
                <c:pt idx="37">
                  <c:v>0.57992018913264198</c:v>
                </c:pt>
                <c:pt idx="38">
                  <c:v>0.61433831354996371</c:v>
                </c:pt>
                <c:pt idx="39">
                  <c:v>0.64979331248350891</c:v>
                </c:pt>
                <c:pt idx="40">
                  <c:v>0.68628536112198657</c:v>
                </c:pt>
                <c:pt idx="41">
                  <c:v>0.72381455095564151</c:v>
                </c:pt>
                <c:pt idx="42">
                  <c:v>0.76238089323788372</c:v>
                </c:pt>
                <c:pt idx="43">
                  <c:v>0.80198432219280891</c:v>
                </c:pt>
                <c:pt idx="44">
                  <c:v>0.84262469799360684</c:v>
                </c:pt>
                <c:pt idx="45">
                  <c:v>0.88430180953384874</c:v>
                </c:pt>
                <c:pt idx="46">
                  <c:v>0.92701537701105807</c:v>
                </c:pt>
                <c:pt idx="47">
                  <c:v>0.97076505433974547</c:v>
                </c:pt>
                <c:pt idx="48">
                  <c:v>1.0155504314091603</c:v>
                </c:pt>
                <c:pt idx="49">
                  <c:v>1.0613710361993434</c:v>
                </c:pt>
                <c:pt idx="50">
                  <c:v>1.1082263367676026</c:v>
                </c:pt>
                <c:pt idx="51">
                  <c:v>1.1561160481836537</c:v>
                </c:pt>
                <c:pt idx="52">
                  <c:v>1.2050404415998694</c:v>
                </c:pt>
                <c:pt idx="53">
                  <c:v>1.2550000437855131</c:v>
                </c:pt>
                <c:pt idx="54">
                  <c:v>1.3059953342340382</c:v>
                </c:pt>
                <c:pt idx="55">
                  <c:v>1.3580267464678213</c:v>
                </c:pt>
                <c:pt idx="56">
                  <c:v>1.4110946692731958</c:v>
                </c:pt>
                <c:pt idx="57">
                  <c:v>1.4651994478708552</c:v>
                </c:pt>
                <c:pt idx="58">
                  <c:v>1.5203413850262455</c:v>
                </c:pt>
                <c:pt idx="59">
                  <c:v>1.5765207421041598</c:v>
                </c:pt>
                <c:pt idx="60">
                  <c:v>1.6337377400713895</c:v>
                </c:pt>
                <c:pt idx="61">
                  <c:v>1.6919925604509545</c:v>
                </c:pt>
                <c:pt idx="62">
                  <c:v>1.75128534623115</c:v>
                </c:pt>
                <c:pt idx="63">
                  <c:v>1.8116162027323757</c:v>
                </c:pt>
                <c:pt idx="64">
                  <c:v>1.8729851984344801</c:v>
                </c:pt>
                <c:pt idx="65">
                  <c:v>1.9353923657671328</c:v>
                </c:pt>
                <c:pt idx="66">
                  <c:v>1.9988377018655443</c:v>
                </c:pt>
                <c:pt idx="67">
                  <c:v>2.0633211692936748</c:v>
                </c:pt>
                <c:pt idx="68">
                  <c:v>2.1288426967369096</c:v>
                </c:pt>
                <c:pt idx="69">
                  <c:v>2.1954021796660359</c:v>
                </c:pt>
                <c:pt idx="70">
                  <c:v>2.2629994809742167</c:v>
                </c:pt>
                <c:pt idx="71">
                  <c:v>2.3316344315885393</c:v>
                </c:pt>
                <c:pt idx="72">
                  <c:v>2.4013068310576</c:v>
                </c:pt>
                <c:pt idx="73">
                  <c:v>2.4720164481164857</c:v>
                </c:pt>
                <c:pt idx="74">
                  <c:v>2.5437630212304208</c:v>
                </c:pt>
                <c:pt idx="75">
                  <c:v>2.6165462591182593</c:v>
                </c:pt>
                <c:pt idx="76">
                  <c:v>2.6903658412569191</c:v>
                </c:pt>
                <c:pt idx="77">
                  <c:v>2.765221418367791</c:v>
                </c:pt>
                <c:pt idx="78">
                  <c:v>2.8411126128860813</c:v>
                </c:pt>
                <c:pt idx="79">
                  <c:v>2.9180390194139818</c:v>
                </c:pt>
                <c:pt idx="80">
                  <c:v>2.9960002051585159</c:v>
                </c:pt>
                <c:pt idx="81">
                  <c:v>3.0749957103548398</c:v>
                </c:pt>
                <c:pt idx="82">
                  <c:v>3.1550250486757436</c:v>
                </c:pt>
                <c:pt idx="83">
                  <c:v>3.2360877076280428</c:v>
                </c:pt>
                <c:pt idx="84">
                  <c:v>3.3181831489365119</c:v>
                </c:pt>
                <c:pt idx="85">
                  <c:v>3.4013108089159698</c:v>
                </c:pt>
                <c:pt idx="86">
                  <c:v>3.4854700988320957</c:v>
                </c:pt>
                <c:pt idx="87">
                  <c:v>3.5706604052515152</c:v>
                </c:pt>
                <c:pt idx="88">
                  <c:v>3.656881090381666</c:v>
                </c:pt>
                <c:pt idx="89">
                  <c:v>3.7441314924009252</c:v>
                </c:pt>
                <c:pt idx="90">
                  <c:v>3.8324109257794539</c:v>
                </c:pt>
                <c:pt idx="91">
                  <c:v>3.9217186815911802</c:v>
                </c:pt>
                <c:pt idx="92">
                  <c:v>4.0120540278173333</c:v>
                </c:pt>
                <c:pt idx="93">
                  <c:v>4.1034162096419058</c:v>
                </c:pt>
                <c:pt idx="94">
                  <c:v>4.1958044497394047</c:v>
                </c:pt>
                <c:pt idx="95">
                  <c:v>4.289217948555236</c:v>
                </c:pt>
                <c:pt idx="96">
                  <c:v>4.3836558845790439</c:v>
                </c:pt>
                <c:pt idx="97">
                  <c:v>4.4791174146113146</c:v>
                </c:pt>
                <c:pt idx="98">
                  <c:v>4.5756016740235266</c:v>
                </c:pt>
                <c:pt idx="99">
                  <c:v>4.6731077770121336</c:v>
                </c:pt>
                <c:pt idx="100">
                  <c:v>4.7716348168466336</c:v>
                </c:pt>
                <c:pt idx="101">
                  <c:v>4.8711817150636607</c:v>
                </c:pt>
                <c:pt idx="102">
                  <c:v>4.9717470700293145</c:v>
                </c:pt>
                <c:pt idx="103">
                  <c:v>5.0733293074317274</c:v>
                </c:pt>
                <c:pt idx="104">
                  <c:v>5.1759268314128466</c:v>
                </c:pt>
                <c:pt idx="105">
                  <c:v>5.2795380248258628</c:v>
                </c:pt>
                <c:pt idx="106">
                  <c:v>5.3841612494874385</c:v>
                </c:pt>
                <c:pt idx="107">
                  <c:v>5.4897948464249469</c:v>
                </c:pt>
                <c:pt idx="108">
                  <c:v>5.5964371361189125</c:v>
                </c:pt>
                <c:pt idx="109">
                  <c:v>5.7040864187408555</c:v>
                </c:pt>
                <c:pt idx="110">
                  <c:v>5.8127409743867036</c:v>
                </c:pt>
                <c:pt idx="111">
                  <c:v>5.9223990633059476</c:v>
                </c:pt>
                <c:pt idx="112">
                  <c:v>6.03305892612671</c:v>
                </c:pt>
                <c:pt idx="113">
                  <c:v>6.1447187840768729</c:v>
                </c:pt>
                <c:pt idx="114">
                  <c:v>6.2573768392014113</c:v>
                </c:pt>
                <c:pt idx="115">
                  <c:v>6.3710312745760804</c:v>
                </c:pt>
                <c:pt idx="116">
                  <c:v>6.485680254517586</c:v>
                </c:pt>
                <c:pt idx="117">
                  <c:v>6.6013219247903647</c:v>
                </c:pt>
                <c:pt idx="118">
                  <c:v>6.7179544128100988</c:v>
                </c:pt>
                <c:pt idx="119">
                  <c:v>6.835575827844079</c:v>
                </c:pt>
                <c:pt idx="120">
                  <c:v>6.9541842612085318</c:v>
                </c:pt>
                <c:pt idx="121">
                  <c:v>7.07377778646301</c:v>
                </c:pt>
                <c:pt idx="122">
                  <c:v>7.1943544596019562</c:v>
                </c:pt>
                <c:pt idx="123">
                  <c:v>7.3159123192435258</c:v>
                </c:pt>
                <c:pt idx="124">
                  <c:v>7.4384493868157735</c:v>
                </c:pt>
                <c:pt idx="125">
                  <c:v>7.5619636667402848</c:v>
                </c:pt>
                <c:pt idx="126">
                  <c:v>7.6864531466133386</c:v>
                </c:pt>
                <c:pt idx="127">
                  <c:v>7.8119157973846818</c:v>
                </c:pt>
                <c:pt idx="128">
                  <c:v>7.9383495735339942</c:v>
                </c:pt>
                <c:pt idx="129">
                  <c:v>8.0657524132451215</c:v>
                </c:pt>
                <c:pt idx="130">
                  <c:v>8.1941222385781352</c:v>
                </c:pt>
                <c:pt idx="131">
                  <c:v>8.3234569556393065</c:v>
                </c:pt>
                <c:pt idx="132">
                  <c:v>8.4537544547490384</c:v>
                </c:pt>
                <c:pt idx="133">
                  <c:v>8.585012610607837</c:v>
                </c:pt>
                <c:pt idx="134">
                  <c:v>8.7172292824603694</c:v>
                </c:pt>
                <c:pt idx="135">
                  <c:v>8.8504023142576695</c:v>
                </c:pt>
                <c:pt idx="136">
                  <c:v>8.9845295348175487</c:v>
                </c:pt>
                <c:pt idx="137">
                  <c:v>9.1196087579832597</c:v>
                </c:pt>
                <c:pt idx="138">
                  <c:v>9.2556377827804717</c:v>
                </c:pt>
                <c:pt idx="139">
                  <c:v>9.3926143935725914</c:v>
                </c:pt>
                <c:pt idx="140">
                  <c:v>9.5305363602144926</c:v>
                </c:pt>
                <c:pt idx="141">
                  <c:v>9.6694014382046873</c:v>
                </c:pt>
                <c:pt idx="142">
                  <c:v>9.8092073688359847</c:v>
                </c:pt>
                <c:pt idx="143">
                  <c:v>9.9499518793446828</c:v>
                </c:pt>
                <c:pt idx="144">
                  <c:v>10.091632683058323</c:v>
                </c:pt>
                <c:pt idx="145">
                  <c:v>10.234247479542056</c:v>
                </c:pt>
                <c:pt idx="146">
                  <c:v>10.377793954743641</c:v>
                </c:pt>
                <c:pt idx="147">
                  <c:v>10.522269781137139</c:v>
                </c:pt>
                <c:pt idx="148">
                  <c:v>10.667672617865296</c:v>
                </c:pt>
                <c:pt idx="149">
                  <c:v>10.814000110880681</c:v>
                </c:pt>
                <c:pt idx="150">
                  <c:v>10.961249893085593</c:v>
                </c:pt>
                <c:pt idx="151">
                  <c:v>11.10941963823659</c:v>
                </c:pt>
                <c:pt idx="152">
                  <c:v>11.258507114992467</c:v>
                </c:pt>
                <c:pt idx="153">
                  <c:v>11.408510133445811</c:v>
                </c:pt>
                <c:pt idx="154">
                  <c:v>11.559426491504416</c:v>
                </c:pt>
                <c:pt idx="155">
                  <c:v>11.711253975016765</c:v>
                </c:pt>
                <c:pt idx="156">
                  <c:v>11.863990357896526</c:v>
                </c:pt>
                <c:pt idx="157">
                  <c:v>12.017633402246089</c:v>
                </c:pt>
                <c:pt idx="158">
                  <c:v>12.172180858479164</c:v>
                </c:pt>
                <c:pt idx="159">
                  <c:v>12.327630465442461</c:v>
                </c:pt>
                <c:pt idx="160">
                  <c:v>12.48397995053646</c:v>
                </c:pt>
                <c:pt idx="161">
                  <c:v>12.641227029835317</c:v>
                </c:pt>
                <c:pt idx="162">
                  <c:v>12.799369408205889</c:v>
                </c:pt>
                <c:pt idx="163">
                  <c:v>12.958404779425921</c:v>
                </c:pt>
                <c:pt idx="164">
                  <c:v>13.118330826301406</c:v>
                </c:pt>
                <c:pt idx="165">
                  <c:v>13.279145220783121</c:v>
                </c:pt>
                <c:pt idx="166">
                  <c:v>13.440845624082373</c:v>
                </c:pt>
                <c:pt idx="167">
                  <c:v>13.603429686785955</c:v>
                </c:pt>
                <c:pt idx="168">
                  <c:v>13.766895048970337</c:v>
                </c:pt>
                <c:pt idx="169">
                  <c:v>13.931239340315095</c:v>
                </c:pt>
                <c:pt idx="170">
                  <c:v>14.096460180215599</c:v>
                </c:pt>
                <c:pt idx="171">
                  <c:v>14.262555177894972</c:v>
                </c:pt>
                <c:pt idx="172">
                  <c:v>14.429521932515325</c:v>
                </c:pt>
                <c:pt idx="173">
                  <c:v>14.597358033288289</c:v>
                </c:pt>
                <c:pt idx="174">
                  <c:v>14.766061059584848</c:v>
                </c:pt>
                <c:pt idx="175">
                  <c:v>14.935628581044485</c:v>
                </c:pt>
                <c:pt idx="176">
                  <c:v>15.106058157683655</c:v>
                </c:pt>
                <c:pt idx="177">
                  <c:v>15.277347340003592</c:v>
                </c:pt>
                <c:pt idx="178">
                  <c:v>15.449493669097459</c:v>
                </c:pt>
                <c:pt idx="179">
                  <c:v>15.622494676756849</c:v>
                </c:pt>
                <c:pt idx="180">
                  <c:v>15.796347885577649</c:v>
                </c:pt>
                <c:pt idx="181">
                  <c:v>15.971050809065275</c:v>
                </c:pt>
                <c:pt idx="182">
                  <c:v>16.146600951739281</c:v>
                </c:pt>
                <c:pt idx="183">
                  <c:v>16.322995809237355</c:v>
                </c:pt>
                <c:pt idx="184">
                  <c:v>16.500232868418717</c:v>
                </c:pt>
                <c:pt idx="185">
                  <c:v>16.678309607466893</c:v>
                </c:pt>
                <c:pt idx="186">
                  <c:v>16.857223495991928</c:v>
                </c:pt>
                <c:pt idx="187">
                  <c:v>17.036971995131982</c:v>
                </c:pt>
                <c:pt idx="188">
                  <c:v>17.217552557654368</c:v>
                </c:pt>
                <c:pt idx="189">
                  <c:v>17.398962628056001</c:v>
                </c:pt>
                <c:pt idx="190">
                  <c:v>17.581199642663282</c:v>
                </c:pt>
                <c:pt idx="191">
                  <c:v>17.764261029731426</c:v>
                </c:pt>
                <c:pt idx="192">
                  <c:v>17.948144209543223</c:v>
                </c:pt>
                <c:pt idx="193">
                  <c:v>18.132846594507253</c:v>
                </c:pt>
                <c:pt idx="194">
                  <c:v>18.318365589255542</c:v>
                </c:pt>
                <c:pt idx="195">
                  <c:v>18.504698590740688</c:v>
                </c:pt>
                <c:pt idx="196">
                  <c:v>18.691842988332439</c:v>
                </c:pt>
                <c:pt idx="197">
                  <c:v>18.879796163913745</c:v>
                </c:pt>
                <c:pt idx="198">
                  <c:v>19.068555491976266</c:v>
                </c:pt>
                <c:pt idx="199">
                  <c:v>19.258118339715367</c:v>
                </c:pt>
                <c:pt idx="200">
                  <c:v>19.448482067124576</c:v>
                </c:pt>
                <c:pt idx="201">
                  <c:v>19.639644027089545</c:v>
                </c:pt>
                <c:pt idx="202">
                  <c:v>19.831601565481463</c:v>
                </c:pt>
                <c:pt idx="203">
                  <c:v>20.024352021249996</c:v>
                </c:pt>
                <c:pt idx="204">
                  <c:v>20.217892726515668</c:v>
                </c:pt>
                <c:pt idx="205">
                  <c:v>20.412221006661792</c:v>
                </c:pt>
                <c:pt idx="206">
                  <c:v>20.607334180425845</c:v>
                </c:pt>
                <c:pt idx="207">
                  <c:v>20.803229559990381</c:v>
                </c:pt>
                <c:pt idx="208">
                  <c:v>20.999904451073423</c:v>
                </c:pt>
                <c:pt idx="209">
                  <c:v>21.197356153018365</c:v>
                </c:pt>
                <c:pt idx="210">
                  <c:v>21.395581958883387</c:v>
                </c:pt>
                <c:pt idx="211">
                  <c:v>21.594579155530369</c:v>
                </c:pt>
                <c:pt idx="212">
                  <c:v>21.794345023713323</c:v>
                </c:pt>
                <c:pt idx="213">
                  <c:v>21.994876838166338</c:v>
                </c:pt>
                <c:pt idx="214">
                  <c:v>22.196171867691028</c:v>
                </c:pt>
                <c:pt idx="215">
                  <c:v>22.398227375243518</c:v>
                </c:pt>
                <c:pt idx="216">
                  <c:v>22.601040618020932</c:v>
                </c:pt>
                <c:pt idx="217">
                  <c:v>22.804608847547399</c:v>
                </c:pt>
                <c:pt idx="218">
                  <c:v>23.008929309759608</c:v>
                </c:pt>
                <c:pt idx="219">
                  <c:v>23.213999245091848</c:v>
                </c:pt>
                <c:pt idx="220">
                  <c:v>23.419815888560599</c:v>
                </c:pt>
                <c:pt idx="221">
                  <c:v>23.62637646984864</c:v>
                </c:pt>
                <c:pt idx="222">
                  <c:v>23.833678213388698</c:v>
                </c:pt>
                <c:pt idx="223">
                  <c:v>24.0417183384466</c:v>
                </c:pt>
                <c:pt idx="224">
                  <c:v>24.25049405920398</c:v>
                </c:pt>
                <c:pt idx="225">
                  <c:v>24.460002584840506</c:v>
                </c:pt>
                <c:pt idx="226">
                  <c:v>24.670241119615643</c:v>
                </c:pt>
                <c:pt idx="227">
                  <c:v>24.881206862949941</c:v>
                </c:pt>
                <c:pt idx="228">
                  <c:v>25.092897009505876</c:v>
                </c:pt>
                <c:pt idx="229">
                  <c:v>25.305308749268203</c:v>
                </c:pt>
                <c:pt idx="230">
                  <c:v>25.518439267623869</c:v>
                </c:pt>
                <c:pt idx="231">
                  <c:v>25.732285745441445</c:v>
                </c:pt>
                <c:pt idx="232">
                  <c:v>25.9468453591501</c:v>
                </c:pt>
                <c:pt idx="233">
                  <c:v>26.162115280818128</c:v>
                </c:pt>
                <c:pt idx="234">
                  <c:v>26.378092678230992</c:v>
                </c:pt>
                <c:pt idx="235">
                  <c:v>26.594774714968924</c:v>
                </c:pt>
                <c:pt idx="236">
                  <c:v>26.812158550484064</c:v>
                </c:pt>
                <c:pt idx="237">
                  <c:v>27.030241340177135</c:v>
                </c:pt>
                <c:pt idx="238">
                  <c:v>27.249020235473662</c:v>
                </c:pt>
                <c:pt idx="239">
                  <c:v>27.468492383899743</c:v>
                </c:pt>
                <c:pt idx="240">
                  <c:v>27.688654929157352</c:v>
                </c:pt>
                <c:pt idx="241">
                  <c:v>27.909505011199183</c:v>
                </c:pt>
                <c:pt idx="242">
                  <c:v>28.131039766303054</c:v>
                </c:pt>
                <c:pt idx="243">
                  <c:v>28.353256327145846</c:v>
                </c:pt>
                <c:pt idx="244">
                  <c:v>28.576151822876984</c:v>
                </c:pt>
                <c:pt idx="245">
                  <c:v>28.799723379191473</c:v>
                </c:pt>
                <c:pt idx="246">
                  <c:v>29.023968118402475</c:v>
                </c:pt>
                <c:pt idx="247">
                  <c:v>29.248883159513433</c:v>
                </c:pt>
                <c:pt idx="248">
                  <c:v>29.474465618289745</c:v>
                </c:pt>
                <c:pt idx="249">
                  <c:v>29.700712607329979</c:v>
                </c:pt>
                <c:pt idx="250">
                  <c:v>29.927621236136645</c:v>
                </c:pt>
                <c:pt idx="251">
                  <c:v>30.155188364032824</c:v>
                </c:pt>
                <c:pt idx="252">
                  <c:v>30.383410352825244</c:v>
                </c:pt>
                <c:pt idx="253">
                  <c:v>30.612283313956898</c:v>
                </c:pt>
                <c:pt idx="254">
                  <c:v>30.841803355925073</c:v>
                </c:pt>
                <c:pt idx="255">
                  <c:v>31.071966584375222</c:v>
                </c:pt>
                <c:pt idx="256">
                  <c:v>31.302769102194098</c:v>
                </c:pt>
                <c:pt idx="257">
                  <c:v>31.534207009602177</c:v>
                </c:pt>
                <c:pt idx="258">
                  <c:v>31.766276404245318</c:v>
                </c:pt>
                <c:pt idx="259">
                  <c:v>31.998973381285726</c:v>
                </c:pt>
                <c:pt idx="260">
                  <c:v>32.23229403349216</c:v>
                </c:pt>
                <c:pt idx="261">
                  <c:v>32.46623445132942</c:v>
                </c:pt>
                <c:pt idx="262">
                  <c:v>32.70079072304712</c:v>
                </c:pt>
                <c:pt idx="263">
                  <c:v>32.935958934767719</c:v>
                </c:pt>
                <c:pt idx="264">
                  <c:v>33.171735170573832</c:v>
                </c:pt>
                <c:pt idx="265">
                  <c:v>33.408115512594804</c:v>
                </c:pt>
                <c:pt idx="266">
                  <c:v>33.645096041092593</c:v>
                </c:pt>
                <c:pt idx="267">
                  <c:v>33.882672834546888</c:v>
                </c:pt>
                <c:pt idx="268">
                  <c:v>34.12084196973953</c:v>
                </c:pt>
                <c:pt idx="269">
                  <c:v>34.359599521838213</c:v>
                </c:pt>
                <c:pt idx="270">
                  <c:v>34.598941564479446</c:v>
                </c:pt>
                <c:pt idx="271">
                  <c:v>34.838864169850822</c:v>
                </c:pt>
                <c:pt idx="272">
                  <c:v>35.079363408772544</c:v>
                </c:pt>
                <c:pt idx="273">
                  <c:v>35.32043535077824</c:v>
                </c:pt>
                <c:pt idx="274">
                  <c:v>35.562076064195082</c:v>
                </c:pt>
                <c:pt idx="275">
                  <c:v>35.804281616223165</c:v>
                </c:pt>
                <c:pt idx="276">
                  <c:v>36.047048073014167</c:v>
                </c:pt>
                <c:pt idx="277">
                  <c:v>36.290371499749334</c:v>
                </c:pt>
                <c:pt idx="278">
                  <c:v>36.534247960716698</c:v>
                </c:pt>
                <c:pt idx="279">
                  <c:v>36.778673519387638</c:v>
                </c:pt>
                <c:pt idx="280">
                  <c:v>37.023644238492707</c:v>
                </c:pt>
                <c:pt idx="281">
                  <c:v>37.269156180096722</c:v>
                </c:pt>
                <c:pt idx="282">
                  <c:v>37.515205405673207</c:v>
                </c:pt>
                <c:pt idx="283">
                  <c:v>37.761787976178077</c:v>
                </c:pt>
                <c:pt idx="284">
                  <c:v>38.00889995212264</c:v>
                </c:pt>
                <c:pt idx="285">
                  <c:v>38.256537393645907</c:v>
                </c:pt>
                <c:pt idx="286">
                  <c:v>38.504696360586166</c:v>
                </c:pt>
                <c:pt idx="287">
                  <c:v>38.753372912551882</c:v>
                </c:pt>
                <c:pt idx="288">
                  <c:v>39.002563108991886</c:v>
                </c:pt>
                <c:pt idx="289">
                  <c:v>39.252263009264873</c:v>
                </c:pt>
                <c:pt idx="290">
                  <c:v>39.502468672708183</c:v>
                </c:pt>
                <c:pt idx="291">
                  <c:v>39.753176158705919</c:v>
                </c:pt>
                <c:pt idx="292">
                  <c:v>40.00438152675634</c:v>
                </c:pt>
                <c:pt idx="293">
                  <c:v>40.256080836538587</c:v>
                </c:pt>
                <c:pt idx="294">
                  <c:v>40.508270147978685</c:v>
                </c:pt>
                <c:pt idx="295">
                  <c:v>40.760945521314881</c:v>
                </c:pt>
                <c:pt idx="296">
                  <c:v>41.014103017162299</c:v>
                </c:pt>
                <c:pt idx="297">
                  <c:v>41.267738696576878</c:v>
                </c:pt>
                <c:pt idx="298">
                  <c:v>41.521845842688315</c:v>
                </c:pt>
                <c:pt idx="299">
                  <c:v>41.776412181246947</c:v>
                </c:pt>
                <c:pt idx="300">
                  <c:v>42.031422661236533</c:v>
                </c:pt>
                <c:pt idx="301">
                  <c:v>42.286862236763341</c:v>
                </c:pt>
                <c:pt idx="302">
                  <c:v>42.542715867496241</c:v>
                </c:pt>
                <c:pt idx="303">
                  <c:v>42.798968519098715</c:v>
                </c:pt>
                <c:pt idx="304">
                  <c:v>43.0556051636528</c:v>
                </c:pt>
                <c:pt idx="305">
                  <c:v>43.312610780074962</c:v>
                </c:pt>
                <c:pt idx="306">
                  <c:v>43.569970354523981</c:v>
                </c:pt>
                <c:pt idx="307">
                  <c:v>43.827668880800765</c:v>
                </c:pt>
                <c:pt idx="308">
                  <c:v>44.085691360740192</c:v>
                </c:pt>
                <c:pt idx="309">
                  <c:v>44.34402280459495</c:v>
                </c:pt>
                <c:pt idx="310">
                  <c:v>44.602648231411422</c:v>
                </c:pt>
                <c:pt idx="311">
                  <c:v>44.861552669397618</c:v>
                </c:pt>
                <c:pt idx="312">
                  <c:v>45.120721156283174</c:v>
                </c:pt>
                <c:pt idx="313">
                  <c:v>45.380138739671438</c:v>
                </c:pt>
                <c:pt idx="314">
                  <c:v>45.639790477383663</c:v>
                </c:pt>
                <c:pt idx="315">
                  <c:v>45.899661437795359</c:v>
                </c:pt>
                <c:pt idx="316">
                  <c:v>46.159736700164764</c:v>
                </c:pt>
                <c:pt idx="317">
                  <c:v>46.420001354953513</c:v>
                </c:pt>
                <c:pt idx="318">
                  <c:v>46.680440504139504</c:v>
                </c:pt>
                <c:pt idx="319">
                  <c:v>46.941039261521979</c:v>
                </c:pt>
                <c:pt idx="320">
                  <c:v>47.201782753018854</c:v>
                </c:pt>
                <c:pt idx="321">
                  <c:v>47.462657233680353</c:v>
                </c:pt>
                <c:pt idx="322">
                  <c:v>47.723651204362888</c:v>
                </c:pt>
                <c:pt idx="323">
                  <c:v>47.984754293261155</c:v>
                </c:pt>
                <c:pt idx="324">
                  <c:v>48.245956137694726</c:v>
                </c:pt>
                <c:pt idx="325">
                  <c:v>48.507246384229305</c:v>
                </c:pt>
                <c:pt idx="326">
                  <c:v>48.768614688794244</c:v>
                </c:pt>
                <c:pt idx="327">
                  <c:v>49.030050716796403</c:v>
                </c:pt>
                <c:pt idx="328">
                  <c:v>49.291544143230304</c:v>
                </c:pt>
                <c:pt idx="329">
                  <c:v>49.553084652784669</c:v>
                </c:pt>
                <c:pt idx="330">
                  <c:v>49.814661939945267</c:v>
                </c:pt>
                <c:pt idx="331">
                  <c:v>50.07626570909418</c:v>
                </c:pt>
                <c:pt idx="332">
                  <c:v>50.337885674605424</c:v>
                </c:pt>
                <c:pt idx="333">
                  <c:v>50.59951156093701</c:v>
                </c:pt>
                <c:pt idx="334">
                  <c:v>50.861133102719414</c:v>
                </c:pt>
                <c:pt idx="335">
                  <c:v>51.122740044840484</c:v>
                </c:pt>
                <c:pt idx="336">
                  <c:v>51.384322142526827</c:v>
                </c:pt>
                <c:pt idx="337">
                  <c:v>51.645869161421643</c:v>
                </c:pt>
                <c:pt idx="338">
                  <c:v>51.907370877659083</c:v>
                </c:pt>
                <c:pt idx="339">
                  <c:v>52.168817077935081</c:v>
                </c:pt>
                <c:pt idx="340">
                  <c:v>52.430197559574736</c:v>
                </c:pt>
                <c:pt idx="341">
                  <c:v>52.691502130596234</c:v>
                </c:pt>
                <c:pt idx="342">
                  <c:v>52.952720609771312</c:v>
                </c:pt>
                <c:pt idx="343">
                  <c:v>53.213842826682324</c:v>
                </c:pt>
                <c:pt idx="344">
                  <c:v>53.47485862177588</c:v>
                </c:pt>
                <c:pt idx="345">
                  <c:v>53.735757846413101</c:v>
                </c:pt>
                <c:pt idx="346">
                  <c:v>53.996530362916481</c:v>
                </c:pt>
                <c:pt idx="347">
                  <c:v>54.257166044613427</c:v>
                </c:pt>
                <c:pt idx="348">
                  <c:v>54.517654897726032</c:v>
                </c:pt>
                <c:pt idx="349">
                  <c:v>54.777987183166722</c:v>
                </c:pt>
                <c:pt idx="350">
                  <c:v>55.038153294424831</c:v>
                </c:pt>
                <c:pt idx="351">
                  <c:v>55.298143635537009</c:v>
                </c:pt>
                <c:pt idx="352">
                  <c:v>55.557948621107052</c:v>
                </c:pt>
                <c:pt idx="353">
                  <c:v>55.817558676322726</c:v>
                </c:pt>
                <c:pt idx="354">
                  <c:v>56.076964236969715</c:v>
                </c:pt>
                <c:pt idx="355">
                  <c:v>56.336155749442639</c:v>
                </c:pt>
                <c:pt idx="356">
                  <c:v>56.595123670753182</c:v>
                </c:pt>
                <c:pt idx="357">
                  <c:v>56.853858468535314</c:v>
                </c:pt>
                <c:pt idx="358">
                  <c:v>57.112350621047675</c:v>
                </c:pt>
                <c:pt idx="359">
                  <c:v>57.370590617173079</c:v>
                </c:pt>
                <c:pt idx="360">
                  <c:v>57.628571503449471</c:v>
                </c:pt>
                <c:pt idx="361">
                  <c:v>57.886291428847137</c:v>
                </c:pt>
                <c:pt idx="362">
                  <c:v>58.143751091088077</c:v>
                </c:pt>
                <c:pt idx="363">
                  <c:v>58.400951185227022</c:v>
                </c:pt>
                <c:pt idx="364">
                  <c:v>58.657892403665329</c:v>
                </c:pt>
                <c:pt idx="365">
                  <c:v>58.914575436164775</c:v>
                </c:pt>
                <c:pt idx="366">
                  <c:v>59.171000969861254</c:v>
                </c:pt>
                <c:pt idx="367">
                  <c:v>59.427169689278422</c:v>
                </c:pt>
                <c:pt idx="368">
                  <c:v>59.68308227634121</c:v>
                </c:pt>
                <c:pt idx="369">
                  <c:v>59.93873941038926</c:v>
                </c:pt>
                <c:pt idx="370">
                  <c:v>60.194141768190292</c:v>
                </c:pt>
                <c:pt idx="371">
                  <c:v>60.449290023953374</c:v>
                </c:pt>
                <c:pt idx="372">
                  <c:v>60.704184849342091</c:v>
                </c:pt>
                <c:pt idx="373">
                  <c:v>60.958826913487655</c:v>
                </c:pt>
                <c:pt idx="374">
                  <c:v>61.213216883001913</c:v>
                </c:pt>
                <c:pt idx="375">
                  <c:v>61.467355421990284</c:v>
                </c:pt>
                <c:pt idx="376">
                  <c:v>61.721243192064591</c:v>
                </c:pt>
                <c:pt idx="377">
                  <c:v>61.974880852355831</c:v>
                </c:pt>
                <c:pt idx="378">
                  <c:v>62.228269059526866</c:v>
                </c:pt>
                <c:pt idx="379">
                  <c:v>62.481408467785009</c:v>
                </c:pt>
                <c:pt idx="380">
                  <c:v>62.734299728894541</c:v>
                </c:pt>
                <c:pt idx="381">
                  <c:v>62.986943492189177</c:v>
                </c:pt>
                <c:pt idx="382">
                  <c:v>63.239340404584389</c:v>
                </c:pt>
                <c:pt idx="383">
                  <c:v>63.49149111058972</c:v>
                </c:pt>
                <c:pt idx="384">
                  <c:v>63.743396252320963</c:v>
                </c:pt>
                <c:pt idx="385">
                  <c:v>63.995056469512306</c:v>
                </c:pt>
                <c:pt idx="386">
                  <c:v>64.246472399528358</c:v>
                </c:pt>
                <c:pt idx="387">
                  <c:v>64.497644677376158</c:v>
                </c:pt>
                <c:pt idx="388">
                  <c:v>64.748573935717019</c:v>
                </c:pt>
                <c:pt idx="389">
                  <c:v>64.999260804878389</c:v>
                </c:pt>
                <c:pt idx="390">
                  <c:v>65.249705912865593</c:v>
                </c:pt>
                <c:pt idx="391">
                  <c:v>65.499909885373498</c:v>
                </c:pt>
                <c:pt idx="392">
                  <c:v>65.749873345798107</c:v>
                </c:pt>
                <c:pt idx="393">
                  <c:v>65.999596915248077</c:v>
                </c:pt>
                <c:pt idx="394">
                  <c:v>66.249081212556206</c:v>
                </c:pt>
                <c:pt idx="395">
                  <c:v>66.498326854290781</c:v>
                </c:pt>
                <c:pt idx="396">
                  <c:v>66.7473344547669</c:v>
                </c:pt>
                <c:pt idx="397">
                  <c:v>66.996104626057715</c:v>
                </c:pt>
                <c:pt idx="398">
                  <c:v>67.244637978005585</c:v>
                </c:pt>
                <c:pt idx="399">
                  <c:v>67.492935118233206</c:v>
                </c:pt>
                <c:pt idx="400">
                  <c:v>67.740996652154607</c:v>
                </c:pt>
                <c:pt idx="401">
                  <c:v>70.208700369130867</c:v>
                </c:pt>
                <c:pt idx="402">
                  <c:v>72.653231746853606</c:v>
                </c:pt>
                <c:pt idx="403">
                  <c:v>75.075175904641185</c:v>
                </c:pt>
                <c:pt idx="404">
                  <c:v>77.475097257035614</c:v>
                </c:pt>
                <c:pt idx="405">
                  <c:v>79.853540506137236</c:v>
                </c:pt>
                <c:pt idx="406">
                  <c:v>82.211031574892814</c:v>
                </c:pt>
                <c:pt idx="407">
                  <c:v>84.548078485530667</c:v>
                </c:pt>
                <c:pt idx="408">
                  <c:v>86.86517218699143</c:v>
                </c:pt>
                <c:pt idx="409">
                  <c:v>89.162787334890496</c:v>
                </c:pt>
                <c:pt idx="410">
                  <c:v>91.441383027264138</c:v>
                </c:pt>
                <c:pt idx="411">
                  <c:v>93.701403499093288</c:v>
                </c:pt>
                <c:pt idx="412">
                  <c:v>95.943278778364188</c:v>
                </c:pt>
                <c:pt idx="413">
                  <c:v>98.167425306210944</c:v>
                </c:pt>
                <c:pt idx="414">
                  <c:v>100.37424652349013</c:v>
                </c:pt>
                <c:pt idx="415">
                  <c:v>102.56413342595928</c:v>
                </c:pt>
                <c:pt idx="416">
                  <c:v>104.73746509006816</c:v>
                </c:pt>
                <c:pt idx="417">
                  <c:v>106.8946091712229</c:v>
                </c:pt>
                <c:pt idx="418">
                  <c:v>109.0359223762466</c:v>
                </c:pt>
                <c:pt idx="419">
                  <c:v>111.16175091163467</c:v>
                </c:pt>
                <c:pt idx="420">
                  <c:v>113.2724309090886</c:v>
                </c:pt>
                <c:pt idx="421">
                  <c:v>115.3682888297065</c:v>
                </c:pt>
                <c:pt idx="422">
                  <c:v>117.44964184811145</c:v>
                </c:pt>
                <c:pt idx="423">
                  <c:v>119.51679821770988</c:v>
                </c:pt>
                <c:pt idx="424">
                  <c:v>121.57005761818975</c:v>
                </c:pt>
                <c:pt idx="425">
                  <c:v>123.60971148629295</c:v>
                </c:pt>
                <c:pt idx="426">
                  <c:v>125.63604333082594</c:v>
                </c:pt>
                <c:pt idx="427">
                  <c:v>127.64932903280877</c:v>
                </c:pt>
                <c:pt idx="428">
                  <c:v>129.64983713160245</c:v>
                </c:pt>
                <c:pt idx="429">
                  <c:v>131.63782909780011</c:v>
                </c:pt>
                <c:pt idx="430">
                  <c:v>133.61355959361552</c:v>
                </c:pt>
                <c:pt idx="431">
                  <c:v>135.57727672145646</c:v>
                </c:pt>
                <c:pt idx="432">
                  <c:v>137.52922226132551</c:v>
                </c:pt>
                <c:pt idx="433">
                  <c:v>139.46963189765094</c:v>
                </c:pt>
                <c:pt idx="434">
                  <c:v>141.39873543611222</c:v>
                </c:pt>
                <c:pt idx="435">
                  <c:v>143.3167570109901</c:v>
                </c:pt>
                <c:pt idx="436">
                  <c:v>145.22391528353819</c:v>
                </c:pt>
                <c:pt idx="437">
                  <c:v>147.12042363184284</c:v>
                </c:pt>
                <c:pt idx="438">
                  <c:v>149.00649033261024</c:v>
                </c:pt>
                <c:pt idx="439">
                  <c:v>150.8823187352927</c:v>
                </c:pt>
                <c:pt idx="440">
                  <c:v>152.7481074289424</c:v>
                </c:pt>
                <c:pt idx="441">
                  <c:v>154.6040504021575</c:v>
                </c:pt>
                <c:pt idx="442">
                  <c:v>156.45033719646435</c:v>
                </c:pt>
                <c:pt idx="443">
                  <c:v>158.28715305345975</c:v>
                </c:pt>
                <c:pt idx="444">
                  <c:v>160.11467905601856</c:v>
                </c:pt>
                <c:pt idx="445">
                  <c:v>161.93309226385446</c:v>
                </c:pt>
                <c:pt idx="446">
                  <c:v>163.74256584370571</c:v>
                </c:pt>
                <c:pt idx="447">
                  <c:v>165.54326919440194</c:v>
                </c:pt>
                <c:pt idx="448">
                  <c:v>167.33536806705479</c:v>
                </c:pt>
                <c:pt idx="449">
                  <c:v>169.11902468060049</c:v>
                </c:pt>
                <c:pt idx="450">
                  <c:v>170.89439783291127</c:v>
                </c:pt>
                <c:pt idx="451">
                  <c:v>172.66164300767966</c:v>
                </c:pt>
                <c:pt idx="452">
                  <c:v>174.42091247726967</c:v>
                </c:pt>
                <c:pt idx="453">
                  <c:v>176.17235540171757</c:v>
                </c:pt>
                <c:pt idx="454">
                  <c:v>177.91611792405595</c:v>
                </c:pt>
                <c:pt idx="455">
                  <c:v>179.6523432621251</c:v>
                </c:pt>
                <c:pt idx="456">
                  <c:v>181.38117179702763</c:v>
                </c:pt>
                <c:pt idx="457">
                  <c:v>183.10274115837359</c:v>
                </c:pt>
                <c:pt idx="458">
                  <c:v>184.81718630645608</c:v>
                </c:pt>
                <c:pt idx="459">
                  <c:v>186.52463961149013</c:v>
                </c:pt>
                <c:pt idx="460">
                  <c:v>188.22523093004057</c:v>
                </c:pt>
                <c:pt idx="461">
                  <c:v>189.9190876787585</c:v>
                </c:pt>
                <c:pt idx="462">
                  <c:v>191.60633490553991</c:v>
                </c:pt>
                <c:pt idx="463">
                  <c:v>193.28709535821389</c:v>
                </c:pt>
                <c:pt idx="464">
                  <c:v>194.96148955086301</c:v>
                </c:pt>
                <c:pt idx="465">
                  <c:v>196.62963582787302</c:v>
                </c:pt>
                <c:pt idx="466">
                  <c:v>198.29165042580431</c:v>
                </c:pt>
                <c:pt idx="467">
                  <c:v>199.9476475331727</c:v>
                </c:pt>
                <c:pt idx="468">
                  <c:v>201.5977393482234</c:v>
                </c:pt>
                <c:pt idx="469">
                  <c:v>203.24203613477701</c:v>
                </c:pt>
                <c:pt idx="470">
                  <c:v>204.8806462762235</c:v>
                </c:pt>
                <c:pt idx="471">
                  <c:v>206.51367632773531</c:v>
                </c:pt>
                <c:pt idx="472">
                  <c:v>208.1412310667682</c:v>
                </c:pt>
                <c:pt idx="473">
                  <c:v>209.76341354191436</c:v>
                </c:pt>
                <c:pt idx="474">
                  <c:v>211.38032512016932</c:v>
                </c:pt>
                <c:pt idx="475">
                  <c:v>212.99206553267126</c:v>
                </c:pt>
                <c:pt idx="476">
                  <c:v>214.5987329189683</c:v>
                </c:pt>
                <c:pt idx="477">
                  <c:v>216.20042386986623</c:v>
                </c:pt>
                <c:pt idx="478">
                  <c:v>217.797233468907</c:v>
                </c:pt>
                <c:pt idx="479">
                  <c:v>219.3892553325251</c:v>
                </c:pt>
                <c:pt idx="480">
                  <c:v>220.97658164892709</c:v>
                </c:pt>
                <c:pt idx="481">
                  <c:v>222.55930321573629</c:v>
                </c:pt>
                <c:pt idx="482">
                  <c:v>224.13750947644317</c:v>
                </c:pt>
                <c:pt idx="483">
                  <c:v>225.7112885556991</c:v>
                </c:pt>
                <c:pt idx="484">
                  <c:v>227.28072729348904</c:v>
                </c:pt>
                <c:pt idx="485">
                  <c:v>228.84591127821687</c:v>
                </c:pt>
                <c:pt idx="486">
                  <c:v>230.40692487873437</c:v>
                </c:pt>
                <c:pt idx="487">
                  <c:v>231.96385127534316</c:v>
                </c:pt>
                <c:pt idx="488">
                  <c:v>233.51677248979684</c:v>
                </c:pt>
                <c:pt idx="489">
                  <c:v>235.06576941432826</c:v>
                </c:pt>
                <c:pt idx="490">
                  <c:v>236.61092183972482</c:v>
                </c:pt>
                <c:pt idx="491">
                  <c:v>238.15230848247288</c:v>
                </c:pt>
                <c:pt idx="492">
                  <c:v>239.69000701098955</c:v>
                </c:pt>
                <c:pt idx="493">
                  <c:v>241.2240940709591</c:v>
                </c:pt>
                <c:pt idx="494">
                  <c:v>242.75464530978769</c:v>
                </c:pt>
                <c:pt idx="495">
                  <c:v>244.28173540018884</c:v>
                </c:pt>
                <c:pt idx="496">
                  <c:v>245.80543806290916</c:v>
                </c:pt>
                <c:pt idx="497">
                  <c:v>247.32582608860159</c:v>
                </c:pt>
                <c:pt idx="498">
                  <c:v>248.84297135885055</c:v>
                </c:pt>
                <c:pt idx="499">
                  <c:v>250.35694486635086</c:v>
                </c:pt>
                <c:pt idx="500">
                  <c:v>251.86781673423914</c:v>
                </c:pt>
                <c:pt idx="501">
                  <c:v>253.37565623457314</c:v>
                </c:pt>
                <c:pt idx="502">
                  <c:v>254.88053180595125</c:v>
                </c:pt>
                <c:pt idx="503">
                  <c:v>256.38251107026042</c:v>
                </c:pt>
                <c:pt idx="504">
                  <c:v>257.88166084853668</c:v>
                </c:pt>
                <c:pt idx="505">
                  <c:v>259.37804717591814</c:v>
                </c:pt>
                <c:pt idx="506">
                  <c:v>260.87173531566492</c:v>
                </c:pt>
                <c:pt idx="507">
                  <c:v>262.36278977221531</c:v>
                </c:pt>
                <c:pt idx="508">
                  <c:v>263.85127430324144</c:v>
                </c:pt>
                <c:pt idx="509">
                  <c:v>265.33725193066039</c:v>
                </c:pt>
                <c:pt idx="510">
                  <c:v>266.82078495054941</c:v>
                </c:pt>
                <c:pt idx="511">
                  <c:v>268.30193494190496</c:v>
                </c:pt>
                <c:pt idx="512">
                  <c:v>269.78076277417603</c:v>
                </c:pt>
                <c:pt idx="513">
                  <c:v>271.25732861349081</c:v>
                </c:pt>
                <c:pt idx="514">
                  <c:v>272.73169192748304</c:v>
                </c:pt>
                <c:pt idx="515">
                  <c:v>274.20391148861125</c:v>
                </c:pt>
                <c:pt idx="516">
                  <c:v>275.67404537584679</c:v>
                </c:pt>
                <c:pt idx="517">
                  <c:v>277.14215097458924</c:v>
                </c:pt>
                <c:pt idx="518">
                  <c:v>278.60828497464638</c:v>
                </c:pt>
                <c:pt idx="519">
                  <c:v>280.07250336609235</c:v>
                </c:pt>
                <c:pt idx="520">
                  <c:v>281.53486143279071</c:v>
                </c:pt>
                <c:pt idx="521">
                  <c:v>282.99541374333774</c:v>
                </c:pt>
                <c:pt idx="522">
                  <c:v>284.45421413914715</c:v>
                </c:pt>
                <c:pt idx="523">
                  <c:v>285.91131571935631</c:v>
                </c:pt>
                <c:pt idx="524">
                  <c:v>287.36677082219012</c:v>
                </c:pt>
                <c:pt idx="525">
                  <c:v>288.82063100236729</c:v>
                </c:pt>
                <c:pt idx="526">
                  <c:v>290.27294700407691</c:v>
                </c:pt>
                <c:pt idx="527">
                  <c:v>291.72376872899031</c:v>
                </c:pt>
                <c:pt idx="528">
                  <c:v>293.17314519870348</c:v>
                </c:pt>
                <c:pt idx="529">
                  <c:v>294.62112451093157</c:v>
                </c:pt>
                <c:pt idx="530">
                  <c:v>296.0677537886973</c:v>
                </c:pt>
                <c:pt idx="531">
                  <c:v>297.51307912167664</c:v>
                </c:pt>
                <c:pt idx="532">
                  <c:v>298.95714549878664</c:v>
                </c:pt>
                <c:pt idx="533">
                  <c:v>300.39999673103569</c:v>
                </c:pt>
                <c:pt idx="534">
                  <c:v>301.84167536360781</c:v>
                </c:pt>
                <c:pt idx="535">
                  <c:v>303.28222257614146</c:v>
                </c:pt>
                <c:pt idx="536">
                  <c:v>304.72167807020423</c:v>
                </c:pt>
                <c:pt idx="537">
                  <c:v>306.16007994308745</c:v>
                </c:pt>
                <c:pt idx="538">
                  <c:v>307.59746454727804</c:v>
                </c:pt>
                <c:pt idx="539">
                  <c:v>309.03386633535251</c:v>
                </c:pt>
                <c:pt idx="540">
                  <c:v>310.46931769061524</c:v>
                </c:pt>
                <c:pt idx="541">
                  <c:v>311.90384874461307</c:v>
                </c:pt>
                <c:pt idx="542">
                  <c:v>313.33748718372203</c:v>
                </c:pt>
                <c:pt idx="543">
                  <c:v>314.77025804831072</c:v>
                </c:pt>
                <c:pt idx="544">
                  <c:v>316.20218352948422</c:v>
                </c:pt>
                <c:pt idx="545">
                  <c:v>317.63328276997242</c:v>
                </c:pt>
                <c:pt idx="546">
                  <c:v>319.06357167714185</c:v>
                </c:pt>
                <c:pt idx="547">
                  <c:v>320.49306275710939</c:v>
                </c:pt>
                <c:pt idx="548">
                  <c:v>321.92176497922156</c:v>
                </c:pt>
                <c:pt idx="549">
                  <c:v>323.34968367948881</c:v>
                </c:pt>
                <c:pt idx="550">
                  <c:v>324.77682050982679</c:v>
                </c:pt>
                <c:pt idx="551">
                  <c:v>326.20317343725924</c:v>
                </c:pt>
                <c:pt idx="552">
                  <c:v>327.62873679391549</c:v>
                </c:pt>
                <c:pt idx="553">
                  <c:v>329.05350137519792</c:v>
                </c:pt>
                <c:pt idx="554">
                  <c:v>330.47745458043784</c:v>
                </c:pt>
                <c:pt idx="555">
                  <c:v>331.90058058812014</c:v>
                </c:pt>
                <c:pt idx="556">
                  <c:v>333.32286055656721</c:v>
                </c:pt>
                <c:pt idx="557">
                  <c:v>334.7442728408173</c:v>
                </c:pt>
                <c:pt idx="558">
                  <c:v>336.1647932171299</c:v>
                </c:pt>
                <c:pt idx="559">
                  <c:v>337.58439510781301</c:v>
                </c:pt>
                <c:pt idx="560">
                  <c:v>339.00304980060162</c:v>
                </c:pt>
                <c:pt idx="561">
                  <c:v>340.42072665838037</c:v>
                </c:pt>
                <c:pt idx="562">
                  <c:v>341.83739331646683</c:v>
                </c:pt>
                <c:pt idx="563">
                  <c:v>343.25301586586761</c:v>
                </c:pt>
                <c:pt idx="564">
                  <c:v>344.66755902185605</c:v>
                </c:pt>
                <c:pt idx="565">
                  <c:v>346.08098627790844</c:v>
                </c:pt>
                <c:pt idx="566">
                  <c:v>347.49326004551148</c:v>
                </c:pt>
                <c:pt idx="567">
                  <c:v>348.90434178065385</c:v>
                </c:pt>
                <c:pt idx="568">
                  <c:v>350.31419209798537</c:v>
                </c:pt>
                <c:pt idx="569">
                  <c:v>351.7227708737006</c:v>
                </c:pt>
                <c:pt idx="570">
                  <c:v>353.13003733821137</c:v>
                </c:pt>
                <c:pt idx="571">
                  <c:v>354.53595015963867</c:v>
                </c:pt>
                <c:pt idx="572">
                  <c:v>355.94046751909138</c:v>
                </c:pt>
                <c:pt idx="573">
                  <c:v>357.34354717862533</c:v>
                </c:pt>
                <c:pt idx="574">
                  <c:v>358.74514654269461</c:v>
                </c:pt>
                <c:pt idx="575">
                  <c:v>360.1452227138256</c:v>
                </c:pt>
                <c:pt idx="576">
                  <c:v>361.54373254316607</c:v>
                </c:pt>
                <c:pt idx="577">
                  <c:v>362.94063267648869</c:v>
                </c:pt>
                <c:pt idx="578">
                  <c:v>364.33587959616153</c:v>
                </c:pt>
                <c:pt idx="579">
                  <c:v>365.72942965953689</c:v>
                </c:pt>
                <c:pt idx="580">
                  <c:v>367.1212391341565</c:v>
                </c:pt>
                <c:pt idx="581">
                  <c:v>368.51126423012232</c:v>
                </c:pt>
                <c:pt idx="582">
                  <c:v>369.89946112994028</c:v>
                </c:pt>
                <c:pt idx="583">
                  <c:v>371.28578601610621</c:v>
                </c:pt>
                <c:pt idx="584">
                  <c:v>372.67019509667159</c:v>
                </c:pt>
                <c:pt idx="585">
                  <c:v>374.05264462899657</c:v>
                </c:pt>
                <c:pt idx="586">
                  <c:v>375.43309094187396</c:v>
                </c:pt>
                <c:pt idx="587">
                  <c:v>376.81149045618525</c:v>
                </c:pt>
                <c:pt idx="588">
                  <c:v>378.18779970423043</c:v>
                </c:pt>
                <c:pt idx="589">
                  <c:v>379.56197534785758</c:v>
                </c:pt>
                <c:pt idx="590">
                  <c:v>380.93397419550229</c:v>
                </c:pt>
                <c:pt idx="591">
                  <c:v>382.30375321823499</c:v>
                </c:pt>
                <c:pt idx="592">
                  <c:v>383.67126956490324</c:v>
                </c:pt>
                <c:pt idx="593">
                  <c:v>385.0364805764454</c:v>
                </c:pt>
                <c:pt idx="594">
                  <c:v>386.39934379944424</c:v>
                </c:pt>
                <c:pt idx="595">
                  <c:v>387.75981699898102</c:v>
                </c:pt>
                <c:pt idx="596">
                  <c:v>389.11785817084456</c:v>
                </c:pt>
                <c:pt idx="597">
                  <c:v>390.47342555314287</c:v>
                </c:pt>
                <c:pt idx="598">
                  <c:v>391.82647763736105</c:v>
                </c:pt>
                <c:pt idx="599">
                  <c:v>393.17697317890361</c:v>
                </c:pt>
                <c:pt idx="600">
                  <c:v>394.52487120715602</c:v>
                </c:pt>
                <c:pt idx="601">
                  <c:v>395.87013103509639</c:v>
                </c:pt>
                <c:pt idx="602">
                  <c:v>397.21271226848484</c:v>
                </c:pt>
                <c:pt idx="603">
                  <c:v>398.55257481465611</c:v>
                </c:pt>
                <c:pt idx="604">
                  <c:v>399.88967889093772</c:v>
                </c:pt>
                <c:pt idx="605">
                  <c:v>401.22398503271381</c:v>
                </c:pt>
                <c:pt idx="606">
                  <c:v>402.55545410115383</c:v>
                </c:pt>
                <c:pt idx="607">
                  <c:v>403.88404729062171</c:v>
                </c:pt>
                <c:pt idx="608">
                  <c:v>405.20972613578175</c:v>
                </c:pt>
                <c:pt idx="609">
                  <c:v>406.53245251841406</c:v>
                </c:pt>
                <c:pt idx="610">
                  <c:v>407.85218867395258</c:v>
                </c:pt>
                <c:pt idx="611">
                  <c:v>409.16889719775685</c:v>
                </c:pt>
                <c:pt idx="612">
                  <c:v>410.48254105112807</c:v>
                </c:pt>
                <c:pt idx="613">
                  <c:v>411.79308356707884</c:v>
                </c:pt>
                <c:pt idx="614">
                  <c:v>413.10048845586545</c:v>
                </c:pt>
                <c:pt idx="615">
                  <c:v>414.40471981029043</c:v>
                </c:pt>
                <c:pt idx="616">
                  <c:v>415.70574211078309</c:v>
                </c:pt>
                <c:pt idx="617">
                  <c:v>417.00352023026466</c:v>
                </c:pt>
                <c:pt idx="618">
                  <c:v>418.29801943880426</c:v>
                </c:pt>
                <c:pt idx="619">
                  <c:v>419.58920540807173</c:v>
                </c:pt>
                <c:pt idx="620">
                  <c:v>420.87704421559226</c:v>
                </c:pt>
                <c:pt idx="621">
                  <c:v>422.16150234880854</c:v>
                </c:pt>
                <c:pt idx="622">
                  <c:v>423.4425467089543</c:v>
                </c:pt>
                <c:pt idx="623">
                  <c:v>424.72014461474447</c:v>
                </c:pt>
                <c:pt idx="624">
                  <c:v>425.99426380588528</c:v>
                </c:pt>
                <c:pt idx="625">
                  <c:v>427.26487244640873</c:v>
                </c:pt>
                <c:pt idx="626">
                  <c:v>428.53193912783473</c:v>
                </c:pt>
                <c:pt idx="627">
                  <c:v>429.79543287216467</c:v>
                </c:pt>
                <c:pt idx="628">
                  <c:v>431.05532313470928</c:v>
                </c:pt>
                <c:pt idx="629">
                  <c:v>432.31157980675431</c:v>
                </c:pt>
                <c:pt idx="630">
                  <c:v>433.5641732180668</c:v>
                </c:pt>
                <c:pt idx="631">
                  <c:v>434.81307413924458</c:v>
                </c:pt>
                <c:pt idx="632">
                  <c:v>436.05825378391222</c:v>
                </c:pt>
                <c:pt idx="633">
                  <c:v>437.2996838107656</c:v>
                </c:pt>
                <c:pt idx="634">
                  <c:v>438.53733632546772</c:v>
                </c:pt>
                <c:pt idx="635">
                  <c:v>439.77118388239836</c:v>
                </c:pt>
                <c:pt idx="636">
                  <c:v>441.00119948625985</c:v>
                </c:pt>
                <c:pt idx="637">
                  <c:v>442.22735659354134</c:v>
                </c:pt>
                <c:pt idx="638">
                  <c:v>443.44962911384368</c:v>
                </c:pt>
                <c:pt idx="639">
                  <c:v>444.66799141106696</c:v>
                </c:pt>
                <c:pt idx="640">
                  <c:v>445.88241830446356</c:v>
                </c:pt>
                <c:pt idx="641">
                  <c:v>447.09288506955795</c:v>
                </c:pt>
                <c:pt idx="642">
                  <c:v>448.29936743893592</c:v>
                </c:pt>
                <c:pt idx="643">
                  <c:v>449.50184160290485</c:v>
                </c:pt>
                <c:pt idx="644">
                  <c:v>450.70028421002752</c:v>
                </c:pt>
                <c:pt idx="645">
                  <c:v>451.89467236753109</c:v>
                </c:pt>
                <c:pt idx="646">
                  <c:v>453.08498364159328</c:v>
                </c:pt>
                <c:pt idx="647">
                  <c:v>454.27119605750784</c:v>
                </c:pt>
                <c:pt idx="648">
                  <c:v>455.45328809973097</c:v>
                </c:pt>
                <c:pt idx="649">
                  <c:v>456.63123871181119</c:v>
                </c:pt>
                <c:pt idx="650">
                  <c:v>457.80502729620383</c:v>
                </c:pt>
                <c:pt idx="651">
                  <c:v>458.97463371397259</c:v>
                </c:pt>
                <c:pt idx="652">
                  <c:v>460.1400382843799</c:v>
                </c:pt>
                <c:pt idx="653">
                  <c:v>461.30122178436767</c:v>
                </c:pt>
                <c:pt idx="654">
                  <c:v>462.45816544793115</c:v>
                </c:pt>
                <c:pt idx="655">
                  <c:v>463.6108509653867</c:v>
                </c:pt>
                <c:pt idx="656">
                  <c:v>464.75926048253621</c:v>
                </c:pt>
                <c:pt idx="657">
                  <c:v>465.90337659972937</c:v>
                </c:pt>
                <c:pt idx="658">
                  <c:v>467.0431823708264</c:v>
                </c:pt>
                <c:pt idx="659">
                  <c:v>468.17866130206238</c:v>
                </c:pt>
                <c:pt idx="660">
                  <c:v>469.30979735081547</c:v>
                </c:pt>
                <c:pt idx="661">
                  <c:v>470.43657492428082</c:v>
                </c:pt>
                <c:pt idx="662">
                  <c:v>471.55897887805173</c:v>
                </c:pt>
                <c:pt idx="663">
                  <c:v>472.67699451461044</c:v>
                </c:pt>
                <c:pt idx="664">
                  <c:v>473.79060758173006</c:v>
                </c:pt>
                <c:pt idx="665">
                  <c:v>474.89980427078945</c:v>
                </c:pt>
                <c:pt idx="666">
                  <c:v>476.00457121500295</c:v>
                </c:pt>
                <c:pt idx="667">
                  <c:v>477.10489548756715</c:v>
                </c:pt>
                <c:pt idx="668">
                  <c:v>478.20076459972591</c:v>
                </c:pt>
                <c:pt idx="669">
                  <c:v>479.29216649875599</c:v>
                </c:pt>
                <c:pt idx="670">
                  <c:v>480.37908956587501</c:v>
                </c:pt>
                <c:pt idx="671">
                  <c:v>481.46152261407337</c:v>
                </c:pt>
                <c:pt idx="672">
                  <c:v>482.53945488587209</c:v>
                </c:pt>
                <c:pt idx="673">
                  <c:v>483.61287605100864</c:v>
                </c:pt>
                <c:pt idx="674">
                  <c:v>484.68177620405203</c:v>
                </c:pt>
                <c:pt idx="675">
                  <c:v>485.74614586194951</c:v>
                </c:pt>
                <c:pt idx="676">
                  <c:v>486.80597596150653</c:v>
                </c:pt>
                <c:pt idx="677">
                  <c:v>487.8612578568015</c:v>
                </c:pt>
                <c:pt idx="678">
                  <c:v>488.91198331653737</c:v>
                </c:pt>
                <c:pt idx="679">
                  <c:v>489.95814452133209</c:v>
                </c:pt>
                <c:pt idx="680">
                  <c:v>490.99973406094909</c:v>
                </c:pt>
                <c:pt idx="681">
                  <c:v>492.03674493147014</c:v>
                </c:pt>
                <c:pt idx="682">
                  <c:v>493.06917053241193</c:v>
                </c:pt>
                <c:pt idx="683">
                  <c:v>494.09700466378865</c:v>
                </c:pt>
                <c:pt idx="684">
                  <c:v>495.12024152312159</c:v>
                </c:pt>
                <c:pt idx="685">
                  <c:v>496.13887570239808</c:v>
                </c:pt>
                <c:pt idx="686">
                  <c:v>497.15290218498126</c:v>
                </c:pt>
                <c:pt idx="687">
                  <c:v>498.16231634247265</c:v>
                </c:pt>
                <c:pt idx="688">
                  <c:v>499.16711393152849</c:v>
                </c:pt>
                <c:pt idx="689">
                  <c:v>500.16729109063266</c:v>
                </c:pt>
                <c:pt idx="690">
                  <c:v>501.16284433682682</c:v>
                </c:pt>
                <c:pt idx="691">
                  <c:v>502.15377056240004</c:v>
                </c:pt>
                <c:pt idx="692">
                  <c:v>503.14006703153927</c:v>
                </c:pt>
                <c:pt idx="693">
                  <c:v>504.12173137694253</c:v>
                </c:pt>
                <c:pt idx="694">
                  <c:v>505.09876159639629</c:v>
                </c:pt>
                <c:pt idx="695">
                  <c:v>506.07115604931857</c:v>
                </c:pt>
                <c:pt idx="696">
                  <c:v>507.03891345326952</c:v>
                </c:pt>
                <c:pt idx="697">
                  <c:v>508.00203288043093</c:v>
                </c:pt>
                <c:pt idx="698">
                  <c:v>508.96051375405636</c:v>
                </c:pt>
                <c:pt idx="699">
                  <c:v>509.91435584489312</c:v>
                </c:pt>
                <c:pt idx="700">
                  <c:v>510.86355926757818</c:v>
                </c:pt>
                <c:pt idx="701">
                  <c:v>511.80812447700873</c:v>
                </c:pt>
                <c:pt idx="702">
                  <c:v>512.74805226468982</c:v>
                </c:pt>
                <c:pt idx="703">
                  <c:v>513.68334375505958</c:v>
                </c:pt>
                <c:pt idx="704">
                  <c:v>514.61400040179433</c:v>
                </c:pt>
                <c:pt idx="705">
                  <c:v>515.5400239840942</c:v>
                </c:pt>
                <c:pt idx="706">
                  <c:v>516.46141660295166</c:v>
                </c:pt>
                <c:pt idx="707">
                  <c:v>517.37818067740295</c:v>
                </c:pt>
                <c:pt idx="708">
                  <c:v>518.29031894076536</c:v>
                </c:pt>
                <c:pt idx="709">
                  <c:v>519.19783443686083</c:v>
                </c:pt>
                <c:pt idx="710">
                  <c:v>520.10073051622703</c:v>
                </c:pt>
                <c:pt idx="711">
                  <c:v>520.99901083231748</c:v>
                </c:pt>
                <c:pt idx="712">
                  <c:v>521.89267933769258</c:v>
                </c:pt>
                <c:pt idx="713">
                  <c:v>522.78174028020192</c:v>
                </c:pt>
                <c:pt idx="714">
                  <c:v>523.66619819915923</c:v>
                </c:pt>
                <c:pt idx="715">
                  <c:v>524.54605792151222</c:v>
                </c:pt>
                <c:pt idx="716">
                  <c:v>525.42132455800697</c:v>
                </c:pt>
                <c:pt idx="717">
                  <c:v>526.29200349934933</c:v>
                </c:pt>
                <c:pt idx="718">
                  <c:v>527.15810041236364</c:v>
                </c:pt>
                <c:pt idx="719">
                  <c:v>528.01962123615078</c:v>
                </c:pt>
                <c:pt idx="720">
                  <c:v>528.87657217824551</c:v>
                </c:pt>
                <c:pt idx="721">
                  <c:v>529.72895971077548</c:v>
                </c:pt>
                <c:pt idx="722">
                  <c:v>530.57679056662187</c:v>
                </c:pt>
                <c:pt idx="723">
                  <c:v>531.42007173558341</c:v>
                </c:pt>
                <c:pt idx="724">
                  <c:v>532.25881046054462</c:v>
                </c:pt>
                <c:pt idx="725">
                  <c:v>533.09301423364934</c:v>
                </c:pt>
                <c:pt idx="726">
                  <c:v>533.92269079248001</c:v>
                </c:pt>
                <c:pt idx="727">
                  <c:v>534.74784811624488</c:v>
                </c:pt>
                <c:pt idx="728">
                  <c:v>535.56849442197267</c:v>
                </c:pt>
                <c:pt idx="729">
                  <c:v>536.38463816071646</c:v>
                </c:pt>
                <c:pt idx="730">
                  <c:v>537.19628801376746</c:v>
                </c:pt>
                <c:pt idx="731">
                  <c:v>538.00345288888013</c:v>
                </c:pt>
                <c:pt idx="732">
                  <c:v>538.80614191650807</c:v>
                </c:pt>
                <c:pt idx="733">
                  <c:v>539.60436444605307</c:v>
                </c:pt>
                <c:pt idx="734">
                  <c:v>540.39813004212715</c:v>
                </c:pt>
                <c:pt idx="735">
                  <c:v>541.18744848082906</c:v>
                </c:pt>
                <c:pt idx="736">
                  <c:v>541.97232974603548</c:v>
                </c:pt>
                <c:pt idx="737">
                  <c:v>542.75278402570746</c:v>
                </c:pt>
                <c:pt idx="738">
                  <c:v>543.52882170821397</c:v>
                </c:pt>
                <c:pt idx="739">
                  <c:v>544.30045337867205</c:v>
                </c:pt>
                <c:pt idx="740">
                  <c:v>545.06768981530467</c:v>
                </c:pt>
                <c:pt idx="741">
                  <c:v>545.8305419858176</c:v>
                </c:pt>
                <c:pt idx="742">
                  <c:v>546.58902104379433</c:v>
                </c:pt>
                <c:pt idx="743">
                  <c:v>547.34313832511179</c:v>
                </c:pt>
                <c:pt idx="744">
                  <c:v>548.09290534437571</c:v>
                </c:pt>
                <c:pt idx="745">
                  <c:v>548.83833379137695</c:v>
                </c:pt>
                <c:pt idx="746">
                  <c:v>549.57943552756956</c:v>
                </c:pt>
                <c:pt idx="747">
                  <c:v>550.31622258257039</c:v>
                </c:pt>
                <c:pt idx="748">
                  <c:v>551.04870715068205</c:v>
                </c:pt>
                <c:pt idx="749">
                  <c:v>551.77690158743769</c:v>
                </c:pt>
                <c:pt idx="750">
                  <c:v>552.50081840617065</c:v>
                </c:pt>
                <c:pt idx="751">
                  <c:v>553.22047027460712</c:v>
                </c:pt>
                <c:pt idx="752">
                  <c:v>553.93587001148353</c:v>
                </c:pt>
                <c:pt idx="753">
                  <c:v>554.64703058318912</c:v>
                </c:pt>
                <c:pt idx="754">
                  <c:v>555.35396510043358</c:v>
                </c:pt>
                <c:pt idx="755">
                  <c:v>556.05668681494024</c:v>
                </c:pt>
                <c:pt idx="756">
                  <c:v>556.7552091161657</c:v>
                </c:pt>
                <c:pt idx="757">
                  <c:v>557.44954552804575</c:v>
                </c:pt>
                <c:pt idx="758">
                  <c:v>558.13970970576793</c:v>
                </c:pt>
                <c:pt idx="759">
                  <c:v>558.82571543257131</c:v>
                </c:pt>
                <c:pt idx="760">
                  <c:v>559.50757661657394</c:v>
                </c:pt>
                <c:pt idx="761">
                  <c:v>560.18530728762767</c:v>
                </c:pt>
                <c:pt idx="762">
                  <c:v>560.85892159420132</c:v>
                </c:pt>
                <c:pt idx="763">
                  <c:v>561.52843380029185</c:v>
                </c:pt>
                <c:pt idx="764">
                  <c:v>562.1938582823642</c:v>
                </c:pt>
                <c:pt idx="765">
                  <c:v>562.85520952631987</c:v>
                </c:pt>
                <c:pt idx="766">
                  <c:v>563.51250212449452</c:v>
                </c:pt>
                <c:pt idx="767">
                  <c:v>564.16575077268465</c:v>
                </c:pt>
                <c:pt idx="768">
                  <c:v>564.81497026720388</c:v>
                </c:pt>
                <c:pt idx="769">
                  <c:v>565.46017550196871</c:v>
                </c:pt>
                <c:pt idx="770">
                  <c:v>566.10138146561349</c:v>
                </c:pt>
                <c:pt idx="771">
                  <c:v>566.73860323863619</c:v>
                </c:pt>
                <c:pt idx="772">
                  <c:v>567.37185599057341</c:v>
                </c:pt>
                <c:pt idx="773">
                  <c:v>568.00115497720594</c:v>
                </c:pt>
                <c:pt idx="774">
                  <c:v>568.62651553779426</c:v>
                </c:pt>
                <c:pt idx="775">
                  <c:v>568.62651553779426</c:v>
                </c:pt>
                <c:pt idx="776">
                  <c:v>568.62651553779426</c:v>
                </c:pt>
                <c:pt idx="777">
                  <c:v>568.62651553779426</c:v>
                </c:pt>
                <c:pt idx="778">
                  <c:v>568.62651553779426</c:v>
                </c:pt>
                <c:pt idx="779">
                  <c:v>568.62651553779426</c:v>
                </c:pt>
                <c:pt idx="780">
                  <c:v>568.62651553779426</c:v>
                </c:pt>
                <c:pt idx="781">
                  <c:v>568.62651553779426</c:v>
                </c:pt>
                <c:pt idx="782">
                  <c:v>568.62651553779426</c:v>
                </c:pt>
                <c:pt idx="783">
                  <c:v>568.62651553779426</c:v>
                </c:pt>
                <c:pt idx="784">
                  <c:v>568.62651553779426</c:v>
                </c:pt>
                <c:pt idx="785">
                  <c:v>568.62651553779426</c:v>
                </c:pt>
                <c:pt idx="786">
                  <c:v>568.62651553779426</c:v>
                </c:pt>
                <c:pt idx="787">
                  <c:v>568.62651553779426</c:v>
                </c:pt>
                <c:pt idx="788">
                  <c:v>568.62651553779426</c:v>
                </c:pt>
                <c:pt idx="789">
                  <c:v>568.62651553779426</c:v>
                </c:pt>
                <c:pt idx="790">
                  <c:v>568.62651553779426</c:v>
                </c:pt>
                <c:pt idx="791">
                  <c:v>568.62651553779426</c:v>
                </c:pt>
                <c:pt idx="792">
                  <c:v>568.62651553779426</c:v>
                </c:pt>
                <c:pt idx="793">
                  <c:v>568.62651553779426</c:v>
                </c:pt>
                <c:pt idx="794">
                  <c:v>568.62651553779426</c:v>
                </c:pt>
                <c:pt idx="795">
                  <c:v>568.62651553779426</c:v>
                </c:pt>
                <c:pt idx="796">
                  <c:v>568.62651553779426</c:v>
                </c:pt>
                <c:pt idx="797">
                  <c:v>568.62651553779426</c:v>
                </c:pt>
                <c:pt idx="798">
                  <c:v>568.62651553779426</c:v>
                </c:pt>
                <c:pt idx="799">
                  <c:v>568.62651553779426</c:v>
                </c:pt>
                <c:pt idx="800">
                  <c:v>568.62651553779426</c:v>
                </c:pt>
                <c:pt idx="801">
                  <c:v>568.62651553779426</c:v>
                </c:pt>
                <c:pt idx="802">
                  <c:v>568.62651553779426</c:v>
                </c:pt>
                <c:pt idx="803">
                  <c:v>568.62651553779426</c:v>
                </c:pt>
                <c:pt idx="804">
                  <c:v>568.62651553779426</c:v>
                </c:pt>
                <c:pt idx="805">
                  <c:v>568.62651553779426</c:v>
                </c:pt>
                <c:pt idx="806">
                  <c:v>568.62651553779426</c:v>
                </c:pt>
                <c:pt idx="807">
                  <c:v>568.62651553779426</c:v>
                </c:pt>
                <c:pt idx="808">
                  <c:v>568.62651553779426</c:v>
                </c:pt>
                <c:pt idx="809">
                  <c:v>568.62651553779426</c:v>
                </c:pt>
                <c:pt idx="810">
                  <c:v>568.62651553779426</c:v>
                </c:pt>
                <c:pt idx="811">
                  <c:v>568.62651553779426</c:v>
                </c:pt>
                <c:pt idx="812">
                  <c:v>568.62651553779426</c:v>
                </c:pt>
                <c:pt idx="813">
                  <c:v>568.62651553779426</c:v>
                </c:pt>
                <c:pt idx="814">
                  <c:v>568.62651553779426</c:v>
                </c:pt>
                <c:pt idx="815">
                  <c:v>568.62651553779426</c:v>
                </c:pt>
                <c:pt idx="816">
                  <c:v>568.62651553779426</c:v>
                </c:pt>
                <c:pt idx="817">
                  <c:v>568.62651553779426</c:v>
                </c:pt>
                <c:pt idx="818">
                  <c:v>568.62651553779426</c:v>
                </c:pt>
                <c:pt idx="819">
                  <c:v>568.62651553779426</c:v>
                </c:pt>
                <c:pt idx="820">
                  <c:v>568.62651553779426</c:v>
                </c:pt>
                <c:pt idx="821">
                  <c:v>568.62651553779426</c:v>
                </c:pt>
                <c:pt idx="822">
                  <c:v>568.62651553779426</c:v>
                </c:pt>
                <c:pt idx="823">
                  <c:v>568.62651553779426</c:v>
                </c:pt>
                <c:pt idx="824">
                  <c:v>568.62651553779426</c:v>
                </c:pt>
                <c:pt idx="825">
                  <c:v>568.62651553779426</c:v>
                </c:pt>
                <c:pt idx="826">
                  <c:v>568.62651553779426</c:v>
                </c:pt>
                <c:pt idx="827">
                  <c:v>568.62651553779426</c:v>
                </c:pt>
                <c:pt idx="828">
                  <c:v>568.62651553779426</c:v>
                </c:pt>
                <c:pt idx="829">
                  <c:v>568.62651553779426</c:v>
                </c:pt>
                <c:pt idx="830">
                  <c:v>568.62651553779426</c:v>
                </c:pt>
                <c:pt idx="831">
                  <c:v>568.62651553779426</c:v>
                </c:pt>
                <c:pt idx="832">
                  <c:v>568.62651553779426</c:v>
                </c:pt>
                <c:pt idx="833">
                  <c:v>568.62651553779426</c:v>
                </c:pt>
                <c:pt idx="834">
                  <c:v>568.62651553779426</c:v>
                </c:pt>
                <c:pt idx="835">
                  <c:v>568.62651553779426</c:v>
                </c:pt>
                <c:pt idx="836">
                  <c:v>568.62651553779426</c:v>
                </c:pt>
                <c:pt idx="837">
                  <c:v>568.62651553779426</c:v>
                </c:pt>
                <c:pt idx="838">
                  <c:v>568.62651553779426</c:v>
                </c:pt>
                <c:pt idx="839">
                  <c:v>568.62651553779426</c:v>
                </c:pt>
                <c:pt idx="840">
                  <c:v>568.62651553779426</c:v>
                </c:pt>
                <c:pt idx="841">
                  <c:v>568.62651553779426</c:v>
                </c:pt>
                <c:pt idx="842">
                  <c:v>568.62651553779426</c:v>
                </c:pt>
                <c:pt idx="843">
                  <c:v>568.62651553779426</c:v>
                </c:pt>
                <c:pt idx="844">
                  <c:v>568.62651553779426</c:v>
                </c:pt>
                <c:pt idx="845">
                  <c:v>568.62651553779426</c:v>
                </c:pt>
                <c:pt idx="846">
                  <c:v>568.62651553779426</c:v>
                </c:pt>
                <c:pt idx="847">
                  <c:v>568.62651553779426</c:v>
                </c:pt>
                <c:pt idx="848">
                  <c:v>568.62651553779426</c:v>
                </c:pt>
                <c:pt idx="849">
                  <c:v>568.62651553779426</c:v>
                </c:pt>
                <c:pt idx="850">
                  <c:v>568.62651553779426</c:v>
                </c:pt>
                <c:pt idx="851">
                  <c:v>568.62651553779426</c:v>
                </c:pt>
                <c:pt idx="852">
                  <c:v>568.62651553779426</c:v>
                </c:pt>
                <c:pt idx="853">
                  <c:v>568.62651553779426</c:v>
                </c:pt>
                <c:pt idx="854">
                  <c:v>568.62651553779426</c:v>
                </c:pt>
                <c:pt idx="855">
                  <c:v>568.62651553779426</c:v>
                </c:pt>
                <c:pt idx="856">
                  <c:v>568.62651553779426</c:v>
                </c:pt>
                <c:pt idx="857">
                  <c:v>568.62651553779426</c:v>
                </c:pt>
                <c:pt idx="858">
                  <c:v>568.62651553779426</c:v>
                </c:pt>
                <c:pt idx="859">
                  <c:v>568.62651553779426</c:v>
                </c:pt>
                <c:pt idx="860">
                  <c:v>568.62651553779426</c:v>
                </c:pt>
                <c:pt idx="861">
                  <c:v>568.62651553779426</c:v>
                </c:pt>
                <c:pt idx="862">
                  <c:v>568.62651553779426</c:v>
                </c:pt>
                <c:pt idx="863">
                  <c:v>568.62651553779426</c:v>
                </c:pt>
                <c:pt idx="864">
                  <c:v>568.62651553779426</c:v>
                </c:pt>
                <c:pt idx="865">
                  <c:v>568.62651553779426</c:v>
                </c:pt>
                <c:pt idx="866">
                  <c:v>568.62651553779426</c:v>
                </c:pt>
                <c:pt idx="867">
                  <c:v>568.62651553779426</c:v>
                </c:pt>
                <c:pt idx="868">
                  <c:v>568.62651553779426</c:v>
                </c:pt>
                <c:pt idx="869">
                  <c:v>568.62651553779426</c:v>
                </c:pt>
                <c:pt idx="870">
                  <c:v>568.62651553779426</c:v>
                </c:pt>
                <c:pt idx="871">
                  <c:v>568.62651553779426</c:v>
                </c:pt>
                <c:pt idx="872">
                  <c:v>568.62651553779426</c:v>
                </c:pt>
                <c:pt idx="873">
                  <c:v>568.62651553779426</c:v>
                </c:pt>
                <c:pt idx="874">
                  <c:v>568.62651553779426</c:v>
                </c:pt>
                <c:pt idx="875">
                  <c:v>568.62651553779426</c:v>
                </c:pt>
                <c:pt idx="876">
                  <c:v>568.62651553779426</c:v>
                </c:pt>
                <c:pt idx="877">
                  <c:v>568.62651553779426</c:v>
                </c:pt>
                <c:pt idx="878">
                  <c:v>568.62651553779426</c:v>
                </c:pt>
                <c:pt idx="879">
                  <c:v>568.62651553779426</c:v>
                </c:pt>
                <c:pt idx="880">
                  <c:v>568.62651553779426</c:v>
                </c:pt>
                <c:pt idx="881">
                  <c:v>568.62651553779426</c:v>
                </c:pt>
                <c:pt idx="882">
                  <c:v>568.62651553779426</c:v>
                </c:pt>
                <c:pt idx="883">
                  <c:v>568.62651553779426</c:v>
                </c:pt>
                <c:pt idx="884">
                  <c:v>568.62651553779426</c:v>
                </c:pt>
                <c:pt idx="885">
                  <c:v>568.62651553779426</c:v>
                </c:pt>
                <c:pt idx="886">
                  <c:v>568.62651553779426</c:v>
                </c:pt>
                <c:pt idx="887">
                  <c:v>568.62651553779426</c:v>
                </c:pt>
                <c:pt idx="888">
                  <c:v>568.62651553779426</c:v>
                </c:pt>
                <c:pt idx="889">
                  <c:v>568.62651553779426</c:v>
                </c:pt>
                <c:pt idx="890">
                  <c:v>568.62651553779426</c:v>
                </c:pt>
                <c:pt idx="891">
                  <c:v>568.62651553779426</c:v>
                </c:pt>
                <c:pt idx="892">
                  <c:v>568.62651553779426</c:v>
                </c:pt>
                <c:pt idx="893">
                  <c:v>568.62651553779426</c:v>
                </c:pt>
                <c:pt idx="894">
                  <c:v>568.62651553779426</c:v>
                </c:pt>
                <c:pt idx="895">
                  <c:v>568.62651553779426</c:v>
                </c:pt>
                <c:pt idx="896">
                  <c:v>568.62651553779426</c:v>
                </c:pt>
                <c:pt idx="897">
                  <c:v>568.62651553779426</c:v>
                </c:pt>
                <c:pt idx="898">
                  <c:v>568.62651553779426</c:v>
                </c:pt>
                <c:pt idx="899">
                  <c:v>568.62651553779426</c:v>
                </c:pt>
                <c:pt idx="900">
                  <c:v>568.62651553779426</c:v>
                </c:pt>
                <c:pt idx="901">
                  <c:v>568.62651553779426</c:v>
                </c:pt>
                <c:pt idx="902">
                  <c:v>568.62651553779426</c:v>
                </c:pt>
                <c:pt idx="903">
                  <c:v>568.62651553779426</c:v>
                </c:pt>
                <c:pt idx="904">
                  <c:v>568.62651553779426</c:v>
                </c:pt>
                <c:pt idx="905">
                  <c:v>568.62651553779426</c:v>
                </c:pt>
                <c:pt idx="906">
                  <c:v>568.62651553779426</c:v>
                </c:pt>
                <c:pt idx="907">
                  <c:v>568.62651553779426</c:v>
                </c:pt>
                <c:pt idx="908">
                  <c:v>568.62651553779426</c:v>
                </c:pt>
                <c:pt idx="909">
                  <c:v>568.62651553779426</c:v>
                </c:pt>
                <c:pt idx="910">
                  <c:v>568.62651553779426</c:v>
                </c:pt>
                <c:pt idx="911">
                  <c:v>568.62651553779426</c:v>
                </c:pt>
                <c:pt idx="912">
                  <c:v>568.62651553779426</c:v>
                </c:pt>
                <c:pt idx="913">
                  <c:v>568.62651553779426</c:v>
                </c:pt>
                <c:pt idx="914">
                  <c:v>568.62651553779426</c:v>
                </c:pt>
                <c:pt idx="915">
                  <c:v>568.62651553779426</c:v>
                </c:pt>
                <c:pt idx="916">
                  <c:v>568.62651553779426</c:v>
                </c:pt>
                <c:pt idx="917">
                  <c:v>568.62651553779426</c:v>
                </c:pt>
                <c:pt idx="918">
                  <c:v>568.62651553779426</c:v>
                </c:pt>
                <c:pt idx="919">
                  <c:v>568.62651553779426</c:v>
                </c:pt>
                <c:pt idx="920">
                  <c:v>568.62651553779426</c:v>
                </c:pt>
                <c:pt idx="921">
                  <c:v>568.62651553779426</c:v>
                </c:pt>
                <c:pt idx="922">
                  <c:v>568.62651553779426</c:v>
                </c:pt>
                <c:pt idx="923">
                  <c:v>568.62651553779426</c:v>
                </c:pt>
                <c:pt idx="924">
                  <c:v>568.62651553779426</c:v>
                </c:pt>
                <c:pt idx="925">
                  <c:v>568.62651553779426</c:v>
                </c:pt>
                <c:pt idx="926">
                  <c:v>568.62651553779426</c:v>
                </c:pt>
                <c:pt idx="927">
                  <c:v>568.62651553779426</c:v>
                </c:pt>
                <c:pt idx="928">
                  <c:v>568.62651553779426</c:v>
                </c:pt>
                <c:pt idx="929">
                  <c:v>568.62651553779426</c:v>
                </c:pt>
                <c:pt idx="930">
                  <c:v>568.62651553779426</c:v>
                </c:pt>
                <c:pt idx="931">
                  <c:v>568.62651553779426</c:v>
                </c:pt>
                <c:pt idx="932">
                  <c:v>568.62651553779426</c:v>
                </c:pt>
                <c:pt idx="933">
                  <c:v>568.62651553779426</c:v>
                </c:pt>
                <c:pt idx="934">
                  <c:v>568.62651553779426</c:v>
                </c:pt>
                <c:pt idx="935">
                  <c:v>568.62651553779426</c:v>
                </c:pt>
                <c:pt idx="936">
                  <c:v>568.62651553779426</c:v>
                </c:pt>
                <c:pt idx="937">
                  <c:v>568.62651553779426</c:v>
                </c:pt>
                <c:pt idx="938">
                  <c:v>568.62651553779426</c:v>
                </c:pt>
                <c:pt idx="939">
                  <c:v>568.62651553779426</c:v>
                </c:pt>
                <c:pt idx="940">
                  <c:v>568.62651553779426</c:v>
                </c:pt>
                <c:pt idx="941">
                  <c:v>568.62651553779426</c:v>
                </c:pt>
                <c:pt idx="942">
                  <c:v>568.62651553779426</c:v>
                </c:pt>
                <c:pt idx="943">
                  <c:v>568.62651553779426</c:v>
                </c:pt>
                <c:pt idx="944">
                  <c:v>568.62651553779426</c:v>
                </c:pt>
                <c:pt idx="945">
                  <c:v>568.62651553779426</c:v>
                </c:pt>
                <c:pt idx="946">
                  <c:v>568.62651553779426</c:v>
                </c:pt>
                <c:pt idx="947">
                  <c:v>568.62651553779426</c:v>
                </c:pt>
                <c:pt idx="948">
                  <c:v>568.62651553779426</c:v>
                </c:pt>
                <c:pt idx="949">
                  <c:v>568.62651553779426</c:v>
                </c:pt>
                <c:pt idx="950">
                  <c:v>568.62651553779426</c:v>
                </c:pt>
                <c:pt idx="951">
                  <c:v>568.62651553779426</c:v>
                </c:pt>
                <c:pt idx="952">
                  <c:v>568.62651553779426</c:v>
                </c:pt>
                <c:pt idx="953">
                  <c:v>568.62651553779426</c:v>
                </c:pt>
                <c:pt idx="954">
                  <c:v>568.62651553779426</c:v>
                </c:pt>
                <c:pt idx="955">
                  <c:v>568.62651553779426</c:v>
                </c:pt>
                <c:pt idx="956">
                  <c:v>568.62651553779426</c:v>
                </c:pt>
                <c:pt idx="957">
                  <c:v>568.62651553779426</c:v>
                </c:pt>
                <c:pt idx="958">
                  <c:v>568.62651553779426</c:v>
                </c:pt>
                <c:pt idx="959">
                  <c:v>568.62651553779426</c:v>
                </c:pt>
                <c:pt idx="960">
                  <c:v>568.62651553779426</c:v>
                </c:pt>
                <c:pt idx="961">
                  <c:v>568.62651553779426</c:v>
                </c:pt>
                <c:pt idx="962">
                  <c:v>568.62651553779426</c:v>
                </c:pt>
                <c:pt idx="963">
                  <c:v>568.62651553779426</c:v>
                </c:pt>
                <c:pt idx="964">
                  <c:v>568.62651553779426</c:v>
                </c:pt>
                <c:pt idx="965">
                  <c:v>568.62651553779426</c:v>
                </c:pt>
                <c:pt idx="966">
                  <c:v>568.62651553779426</c:v>
                </c:pt>
                <c:pt idx="967">
                  <c:v>568.62651553779426</c:v>
                </c:pt>
                <c:pt idx="968">
                  <c:v>568.62651553779426</c:v>
                </c:pt>
                <c:pt idx="969">
                  <c:v>568.62651553779426</c:v>
                </c:pt>
                <c:pt idx="970">
                  <c:v>568.62651553779426</c:v>
                </c:pt>
                <c:pt idx="971">
                  <c:v>568.62651553779426</c:v>
                </c:pt>
                <c:pt idx="972">
                  <c:v>568.62651553779426</c:v>
                </c:pt>
                <c:pt idx="973">
                  <c:v>568.62651553779426</c:v>
                </c:pt>
                <c:pt idx="974">
                  <c:v>568.62651553779426</c:v>
                </c:pt>
                <c:pt idx="975">
                  <c:v>568.62651553779426</c:v>
                </c:pt>
                <c:pt idx="976">
                  <c:v>568.62651553779426</c:v>
                </c:pt>
                <c:pt idx="977">
                  <c:v>568.62651553779426</c:v>
                </c:pt>
                <c:pt idx="978">
                  <c:v>568.62651553779426</c:v>
                </c:pt>
                <c:pt idx="979">
                  <c:v>568.62651553779426</c:v>
                </c:pt>
                <c:pt idx="980">
                  <c:v>568.62651553779426</c:v>
                </c:pt>
                <c:pt idx="981">
                  <c:v>568.62651553779426</c:v>
                </c:pt>
                <c:pt idx="982">
                  <c:v>568.62651553779426</c:v>
                </c:pt>
                <c:pt idx="983">
                  <c:v>568.62651553779426</c:v>
                </c:pt>
                <c:pt idx="984">
                  <c:v>568.62651553779426</c:v>
                </c:pt>
                <c:pt idx="985">
                  <c:v>568.62651553779426</c:v>
                </c:pt>
                <c:pt idx="986">
                  <c:v>568.62651553779426</c:v>
                </c:pt>
                <c:pt idx="987">
                  <c:v>568.62651553779426</c:v>
                </c:pt>
                <c:pt idx="988">
                  <c:v>568.62651553779426</c:v>
                </c:pt>
                <c:pt idx="989">
                  <c:v>568.62651553779426</c:v>
                </c:pt>
                <c:pt idx="990">
                  <c:v>568.62651553779426</c:v>
                </c:pt>
                <c:pt idx="991">
                  <c:v>568.62651553779426</c:v>
                </c:pt>
                <c:pt idx="992">
                  <c:v>568.62651553779426</c:v>
                </c:pt>
                <c:pt idx="993">
                  <c:v>568.62651553779426</c:v>
                </c:pt>
                <c:pt idx="994">
                  <c:v>568.62651553779426</c:v>
                </c:pt>
                <c:pt idx="995">
                  <c:v>568.62651553779426</c:v>
                </c:pt>
                <c:pt idx="996">
                  <c:v>568.62651553779426</c:v>
                </c:pt>
                <c:pt idx="997">
                  <c:v>568.62651553779426</c:v>
                </c:pt>
                <c:pt idx="998">
                  <c:v>568.62651553779426</c:v>
                </c:pt>
                <c:pt idx="999">
                  <c:v>568.62651553779426</c:v>
                </c:pt>
                <c:pt idx="1000">
                  <c:v>568.62651553779426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1.3233354686966879E-4</c:v>
                </c:pt>
                <c:pt idx="2">
                  <c:v>1.7678971011637825E-3</c:v>
                </c:pt>
                <c:pt idx="3">
                  <c:v>7.3846649585392532E-3</c:v>
                </c:pt>
                <c:pt idx="4">
                  <c:v>1.9462765294790782E-2</c:v>
                </c:pt>
                <c:pt idx="5">
                  <c:v>4.0485388323537631E-2</c:v>
                </c:pt>
                <c:pt idx="6">
                  <c:v>7.2311495227104908E-2</c:v>
                </c:pt>
                <c:pt idx="7">
                  <c:v>0.11554661406552218</c:v>
                </c:pt>
                <c:pt idx="8">
                  <c:v>0.17016875077340787</c:v>
                </c:pt>
                <c:pt idx="9">
                  <c:v>0.23615576217981632</c:v>
                </c:pt>
                <c:pt idx="10">
                  <c:v>0.3134853564423159</c:v>
                </c:pt>
                <c:pt idx="11">
                  <c:v>0.40213509348839366</c:v>
                </c:pt>
                <c:pt idx="12">
                  <c:v>0.5020823854641463</c:v>
                </c:pt>
                <c:pt idx="13">
                  <c:v>0.61330449719021651</c:v>
                </c:pt>
                <c:pt idx="14">
                  <c:v>0.73577854662493314</c:v>
                </c:pt>
                <c:pt idx="15">
                  <c:v>0.86948150533461188</c:v>
                </c:pt>
                <c:pt idx="16">
                  <c:v>1.0143901989709738</c:v>
                </c:pt>
                <c:pt idx="17">
                  <c:v>1.1704813077556369</c:v>
                </c:pt>
                <c:pt idx="18">
                  <c:v>1.3377313669716355</c:v>
                </c:pt>
                <c:pt idx="19">
                  <c:v>1.5161167674619227</c:v>
                </c:pt>
                <c:pt idx="20">
                  <c:v>1.705613756134807</c:v>
                </c:pt>
                <c:pt idx="21">
                  <c:v>1.9061984364762792</c:v>
                </c:pt>
                <c:pt idx="22">
                  <c:v>2.1178467690691769</c:v>
                </c:pt>
                <c:pt idx="23">
                  <c:v>2.3405345721191422</c:v>
                </c:pt>
                <c:pt idx="24">
                  <c:v>2.5742375219873179</c:v>
                </c:pt>
                <c:pt idx="25">
                  <c:v>2.8189311537297388</c:v>
                </c:pt>
                <c:pt idx="26">
                  <c:v>3.0745908616433573</c:v>
                </c:pt>
                <c:pt idx="27">
                  <c:v>3.3411918998186607</c:v>
                </c:pt>
                <c:pt idx="28">
                  <c:v>3.6187093826988224</c:v>
                </c:pt>
                <c:pt idx="29">
                  <c:v>3.9071182856453341</c:v>
                </c:pt>
                <c:pt idx="30">
                  <c:v>4.2063934455100664</c:v>
                </c:pt>
                <c:pt idx="31">
                  <c:v>4.5165058330928476</c:v>
                </c:pt>
                <c:pt idx="32">
                  <c:v>4.8374261449249225</c:v>
                </c:pt>
                <c:pt idx="33">
                  <c:v>5.1691285340213797</c:v>
                </c:pt>
                <c:pt idx="34">
                  <c:v>5.5115870234091933</c:v>
                </c:pt>
                <c:pt idx="35">
                  <c:v>5.8647755085918361</c:v>
                </c:pt>
                <c:pt idx="36">
                  <c:v>6.2286677577231684</c:v>
                </c:pt>
                <c:pt idx="37">
                  <c:v>6.6032374118248418</c:v>
                </c:pt>
                <c:pt idx="38">
                  <c:v>6.9884579850429116</c:v>
                </c:pt>
                <c:pt idx="39">
                  <c:v>7.3843028649399383</c:v>
                </c:pt>
                <c:pt idx="40">
                  <c:v>7.7907453128193618</c:v>
                </c:pt>
                <c:pt idx="41">
                  <c:v>8.207758464079328</c:v>
                </c:pt>
                <c:pt idx="42">
                  <c:v>8.6353153285935189</c:v>
                </c:pt>
                <c:pt idx="43">
                  <c:v>9.0733887911168214</c:v>
                </c:pt>
                <c:pt idx="44">
                  <c:v>9.5219516117139342</c:v>
                </c:pt>
                <c:pt idx="45">
                  <c:v>9.9809764262092102</c:v>
                </c:pt>
                <c:pt idx="46">
                  <c:v>10.45043574665625</c:v>
                </c:pt>
                <c:pt idx="47">
                  <c:v>10.930301961825897</c:v>
                </c:pt>
                <c:pt idx="48">
                  <c:v>11.420547337711429</c:v>
                </c:pt>
                <c:pt idx="49">
                  <c:v>11.921144018049887</c:v>
                </c:pt>
                <c:pt idx="50">
                  <c:v>12.432064024858539</c:v>
                </c:pt>
                <c:pt idx="51">
                  <c:v>12.953282582380416</c:v>
                </c:pt>
                <c:pt idx="52">
                  <c:v>13.484781447029643</c:v>
                </c:pt>
                <c:pt idx="53">
                  <c:v>14.026545592720122</c:v>
                </c:pt>
                <c:pt idx="54">
                  <c:v>14.578559890023286</c:v>
                </c:pt>
                <c:pt idx="55">
                  <c:v>15.140809106374764</c:v>
                </c:pt>
                <c:pt idx="56">
                  <c:v>15.713277906290934</c:v>
                </c:pt>
                <c:pt idx="57">
                  <c:v>16.295950851594956</c:v>
                </c:pt>
                <c:pt idx="58">
                  <c:v>16.888812401651926</c:v>
                </c:pt>
                <c:pt idx="59">
                  <c:v>17.49184691361279</c:v>
                </c:pt>
                <c:pt idx="60">
                  <c:v>18.105038642666727</c:v>
                </c:pt>
                <c:pt idx="61">
                  <c:v>18.728371742301682</c:v>
                </c:pt>
                <c:pt idx="62">
                  <c:v>19.361830264572792</c:v>
                </c:pt>
                <c:pt idx="63">
                  <c:v>20.005398160378441</c:v>
                </c:pt>
                <c:pt idx="64">
                  <c:v>20.659059279743751</c:v>
                </c:pt>
                <c:pt idx="65">
                  <c:v>21.322797372111214</c:v>
                </c:pt>
                <c:pt idx="66">
                  <c:v>21.996596086638341</c:v>
                </c:pt>
                <c:pt idx="67">
                  <c:v>22.680438972502074</c:v>
                </c:pt>
                <c:pt idx="68">
                  <c:v>23.37430947920981</c:v>
                </c:pt>
                <c:pt idx="69">
                  <c:v>24.078190956916874</c:v>
                </c:pt>
                <c:pt idx="70">
                  <c:v>24.792066656750261</c:v>
                </c:pt>
                <c:pt idx="71">
                  <c:v>25.515919731138499</c:v>
                </c:pt>
                <c:pt idx="72">
                  <c:v>26.249733234147506</c:v>
                </c:pt>
                <c:pt idx="73">
                  <c:v>26.99349012182228</c:v>
                </c:pt>
                <c:pt idx="74">
                  <c:v>27.747173252534331</c:v>
                </c:pt>
                <c:pt idx="75">
                  <c:v>28.510765387334679</c:v>
                </c:pt>
                <c:pt idx="76">
                  <c:v>29.284249190312352</c:v>
                </c:pt>
                <c:pt idx="77">
                  <c:v>30.067607228958231</c:v>
                </c:pt>
                <c:pt idx="78">
                  <c:v>30.860821974534179</c:v>
                </c:pt>
                <c:pt idx="79">
                  <c:v>31.663875802447297</c:v>
                </c:pt>
                <c:pt idx="80">
                  <c:v>32.476750992629256</c:v>
                </c:pt>
                <c:pt idx="81">
                  <c:v>33.299429729920583</c:v>
                </c:pt>
                <c:pt idx="82">
                  <c:v>34.131894104459818</c:v>
                </c:pt>
                <c:pt idx="83">
                  <c:v>34.97412611207745</c:v>
                </c:pt>
                <c:pt idx="84">
                  <c:v>35.826107654694546</c:v>
                </c:pt>
                <c:pt idx="85">
                  <c:v>36.687820540726001</c:v>
                </c:pt>
                <c:pt idx="86">
                  <c:v>37.559246485488302</c:v>
                </c:pt>
                <c:pt idx="87">
                  <c:v>38.440367111611778</c:v>
                </c:pt>
                <c:pt idx="88">
                  <c:v>39.331163949457171</c:v>
                </c:pt>
                <c:pt idx="89">
                  <c:v>40.231618437536575</c:v>
                </c:pt>
                <c:pt idx="90">
                  <c:v>41.141711922938555</c:v>
                </c:pt>
                <c:pt idx="91">
                  <c:v>42.061425661757454</c:v>
                </c:pt>
                <c:pt idx="92">
                  <c:v>42.990740819526756</c:v>
                </c:pt>
                <c:pt idx="93">
                  <c:v>43.929638471656531</c:v>
                </c:pt>
                <c:pt idx="94">
                  <c:v>44.878099603874766</c:v>
                </c:pt>
                <c:pt idx="95">
                  <c:v>45.836105112672634</c:v>
                </c:pt>
                <c:pt idx="96">
                  <c:v>46.803635805753579</c:v>
                </c:pt>
                <c:pt idx="97">
                  <c:v>47.780672402486154</c:v>
                </c:pt>
                <c:pt idx="98">
                  <c:v>48.767195534360567</c:v>
                </c:pt>
                <c:pt idx="99">
                  <c:v>49.76318574544888</c:v>
                </c:pt>
                <c:pt idx="100">
                  <c:v>50.76862349286877</c:v>
                </c:pt>
                <c:pt idx="101">
                  <c:v>51.783487606594051</c:v>
                </c:pt>
                <c:pt idx="102">
                  <c:v>52.807753747314081</c:v>
                </c:pt>
                <c:pt idx="103">
                  <c:v>53.841395945364965</c:v>
                </c:pt>
                <c:pt idx="104">
                  <c:v>54.884388141708492</c:v>
                </c:pt>
                <c:pt idx="105">
                  <c:v>55.936704188592621</c:v>
                </c:pt>
                <c:pt idx="106">
                  <c:v>56.998317850215017</c:v>
                </c:pt>
                <c:pt idx="107">
                  <c:v>58.069202803389466</c:v>
                </c:pt>
                <c:pt idx="108">
                  <c:v>59.149332638215199</c:v>
                </c:pt>
                <c:pt idx="109">
                  <c:v>60.238680858748971</c:v>
                </c:pt>
                <c:pt idx="110">
                  <c:v>61.337220883679876</c:v>
                </c:pt>
                <c:pt idx="111">
                  <c:v>62.444926047006803</c:v>
                </c:pt>
                <c:pt idx="112">
                  <c:v>63.561769598718449</c:v>
                </c:pt>
                <c:pt idx="113">
                  <c:v>64.68772470547583</c:v>
                </c:pt>
                <c:pt idx="114">
                  <c:v>65.822764451297246</c:v>
                </c:pt>
                <c:pt idx="115">
                  <c:v>66.966861838245549</c:v>
                </c:pt>
                <c:pt idx="116">
                  <c:v>68.11998978711776</c:v>
                </c:pt>
                <c:pt idx="117">
                  <c:v>69.282121138136816</c:v>
                </c:pt>
                <c:pt idx="118">
                  <c:v>70.453228651645574</c:v>
                </c:pt>
                <c:pt idx="119">
                  <c:v>71.633285008802815</c:v>
                </c:pt>
                <c:pt idx="120">
                  <c:v>72.822262812281238</c:v>
                </c:pt>
                <c:pt idx="121">
                  <c:v>74.020134586967501</c:v>
                </c:pt>
                <c:pt idx="122">
                  <c:v>75.22687278066401</c:v>
                </c:pt>
                <c:pt idx="123">
                  <c:v>76.442449764792599</c:v>
                </c:pt>
                <c:pt idx="124">
                  <c:v>77.666837835099912</c:v>
                </c:pt>
                <c:pt idx="125">
                  <c:v>78.900009212364466</c:v>
                </c:pt>
                <c:pt idx="126">
                  <c:v>80.141936043105346</c:v>
                </c:pt>
                <c:pt idx="127">
                  <c:v>81.392590400292406</c:v>
                </c:pt>
                <c:pt idx="128">
                  <c:v>82.651944284057933</c:v>
                </c:pt>
                <c:pt idx="129">
                  <c:v>83.919969622409795</c:v>
                </c:pt>
                <c:pt idx="130">
                  <c:v>85.196638271945858</c:v>
                </c:pt>
                <c:pt idx="131">
                  <c:v>86.481922018569733</c:v>
                </c:pt>
                <c:pt idx="132">
                  <c:v>87.775792578207728</c:v>
                </c:pt>
                <c:pt idx="133">
                  <c:v>89.07822159752692</c:v>
                </c:pt>
                <c:pt idx="134">
                  <c:v>90.38918065465441</c:v>
                </c:pt>
                <c:pt idx="135">
                  <c:v>91.708641259897504</c:v>
                </c:pt>
                <c:pt idx="136">
                  <c:v>93.036574856464924</c:v>
                </c:pt>
                <c:pt idx="137">
                  <c:v>94.372952821188889</c:v>
                </c:pt>
                <c:pt idx="138">
                  <c:v>95.717746465248098</c:v>
                </c:pt>
                <c:pt idx="139">
                  <c:v>97.070927034891398</c:v>
                </c:pt>
                <c:pt idx="140">
                  <c:v>98.432465712162269</c:v>
                </c:pt>
                <c:pt idx="141">
                  <c:v>99.80233361562388</c:v>
                </c:pt>
                <c:pt idx="142">
                  <c:v>101.18050180108484</c:v>
                </c:pt>
                <c:pt idx="143">
                  <c:v>102.56694126232541</c:v>
                </c:pt>
                <c:pt idx="144">
                  <c:v>103.96162293182422</c:v>
                </c:pt>
                <c:pt idx="145">
                  <c:v>105.36451768148538</c:v>
                </c:pt>
                <c:pt idx="146">
                  <c:v>106.77559632336603</c:v>
                </c:pt>
                <c:pt idx="147">
                  <c:v>108.19482961040408</c:v>
                </c:pt>
                <c:pt idx="148">
                  <c:v>109.62218823714632</c:v>
                </c:pt>
                <c:pt idx="149">
                  <c:v>111.05764284047656</c:v>
                </c:pt>
                <c:pt idx="150">
                  <c:v>112.50116400034405</c:v>
                </c:pt>
                <c:pt idx="151">
                  <c:v>113.95272276739166</c:v>
                </c:pt>
                <c:pt idx="152">
                  <c:v>115.41229119093816</c:v>
                </c:pt>
                <c:pt idx="153">
                  <c:v>116.87984179297801</c:v>
                </c:pt>
                <c:pt idx="154">
                  <c:v>118.35534704179793</c:v>
                </c:pt>
                <c:pt idx="155">
                  <c:v>119.83877935264707</c:v>
                </c:pt>
                <c:pt idx="156">
                  <c:v>121.33011108840719</c:v>
                </c:pt>
                <c:pt idx="157">
                  <c:v>122.8293145602629</c:v>
                </c:pt>
                <c:pt idx="158">
                  <c:v>124.33636202837172</c:v>
                </c:pt>
                <c:pt idx="159">
                  <c:v>125.85122570253425</c:v>
                </c:pt>
                <c:pt idx="160">
                  <c:v>127.37387774286398</c:v>
                </c:pt>
                <c:pt idx="161">
                  <c:v>128.90429026045709</c:v>
                </c:pt>
                <c:pt idx="162">
                  <c:v>130.44243531806183</c:v>
                </c:pt>
                <c:pt idx="163">
                  <c:v>131.98828493074782</c:v>
                </c:pt>
                <c:pt idx="164">
                  <c:v>133.54181106657484</c:v>
                </c:pt>
                <c:pt idx="165">
                  <c:v>135.10298564726125</c:v>
                </c:pt>
                <c:pt idx="166">
                  <c:v>136.6717805488521</c:v>
                </c:pt>
                <c:pt idx="167">
                  <c:v>138.24816760238656</c:v>
                </c:pt>
                <c:pt idx="168">
                  <c:v>139.83211859456503</c:v>
                </c:pt>
                <c:pt idx="169">
                  <c:v>141.42360526841551</c:v>
                </c:pt>
                <c:pt idx="170">
                  <c:v>143.0225993239595</c:v>
                </c:pt>
                <c:pt idx="171">
                  <c:v>144.62907241887703</c:v>
                </c:pt>
                <c:pt idx="172">
                  <c:v>146.24299616917116</c:v>
                </c:pt>
                <c:pt idx="173">
                  <c:v>147.86434214983169</c:v>
                </c:pt>
                <c:pt idx="174">
                  <c:v>149.49308189549794</c:v>
                </c:pt>
                <c:pt idx="175">
                  <c:v>151.12918690112082</c:v>
                </c:pt>
                <c:pt idx="176">
                  <c:v>152.77262862262401</c:v>
                </c:pt>
                <c:pt idx="177">
                  <c:v>154.42337847756406</c:v>
                </c:pt>
                <c:pt idx="178">
                  <c:v>156.08140784578967</c:v>
                </c:pt>
                <c:pt idx="179">
                  <c:v>157.74668807009985</c:v>
                </c:pt>
                <c:pt idx="180">
                  <c:v>159.41919045690108</c:v>
                </c:pt>
                <c:pt idx="181">
                  <c:v>161.09888627686325</c:v>
                </c:pt>
                <c:pt idx="182">
                  <c:v>162.78574676557466</c:v>
                </c:pt>
                <c:pt idx="183">
                  <c:v>164.47974312419555</c:v>
                </c:pt>
                <c:pt idx="184">
                  <c:v>166.18084652011066</c:v>
                </c:pt>
                <c:pt idx="185">
                  <c:v>167.88902808758033</c:v>
                </c:pt>
                <c:pt idx="186">
                  <c:v>169.60425892839038</c:v>
                </c:pt>
                <c:pt idx="187">
                  <c:v>171.32651011250059</c:v>
                </c:pt>
                <c:pt idx="188">
                  <c:v>173.05575267869182</c:v>
                </c:pt>
                <c:pt idx="189">
                  <c:v>174.79195763521167</c:v>
                </c:pt>
                <c:pt idx="190">
                  <c:v>176.53509596041872</c:v>
                </c:pt>
                <c:pt idx="191">
                  <c:v>178.28513860342514</c:v>
                </c:pt>
                <c:pt idx="192">
                  <c:v>180.04205648473786</c:v>
                </c:pt>
                <c:pt idx="193">
                  <c:v>181.80582049689812</c:v>
                </c:pt>
                <c:pt idx="194">
                  <c:v>183.57640150511941</c:v>
                </c:pt>
                <c:pt idx="195">
                  <c:v>185.35377034792367</c:v>
                </c:pt>
                <c:pt idx="196">
                  <c:v>187.13789783777588</c:v>
                </c:pt>
                <c:pt idx="197">
                  <c:v>188.9287547617169</c:v>
                </c:pt>
                <c:pt idx="198">
                  <c:v>190.72631188199449</c:v>
                </c:pt>
                <c:pt idx="199">
                  <c:v>192.53053993669252</c:v>
                </c:pt>
                <c:pt idx="200">
                  <c:v>194.34140964035842</c:v>
                </c:pt>
                <c:pt idx="201">
                  <c:v>196.15889168462871</c:v>
                </c:pt>
                <c:pt idx="202">
                  <c:v>197.98295673885255</c:v>
                </c:pt>
                <c:pt idx="203">
                  <c:v>199.81357545071344</c:v>
                </c:pt>
                <c:pt idx="204">
                  <c:v>201.65071844684888</c:v>
                </c:pt>
                <c:pt idx="205">
                  <c:v>203.49435633346809</c:v>
                </c:pt>
                <c:pt idx="206">
                  <c:v>205.34445969696756</c:v>
                </c:pt>
                <c:pt idx="207">
                  <c:v>207.20099910454465</c:v>
                </c:pt>
                <c:pt idx="208">
                  <c:v>209.06394510480899</c:v>
                </c:pt>
                <c:pt idx="209">
                  <c:v>210.93326822839182</c:v>
                </c:pt>
                <c:pt idx="210">
                  <c:v>212.80893898855305</c:v>
                </c:pt>
                <c:pt idx="211">
                  <c:v>214.69092788178622</c:v>
                </c:pt>
                <c:pt idx="212">
                  <c:v>216.57920538842117</c:v>
                </c:pt>
                <c:pt idx="213">
                  <c:v>218.47374197322449</c:v>
                </c:pt>
                <c:pt idx="214">
                  <c:v>220.3745080859976</c:v>
                </c:pt>
                <c:pt idx="215">
                  <c:v>222.2814741621726</c:v>
                </c:pt>
                <c:pt idx="216">
                  <c:v>224.19461062340571</c:v>
                </c:pt>
                <c:pt idx="217">
                  <c:v>226.11388787816833</c:v>
                </c:pt>
                <c:pt idx="218">
                  <c:v>228.03927632233572</c:v>
                </c:pt>
                <c:pt idx="219">
                  <c:v>229.97074633977329</c:v>
                </c:pt>
                <c:pt idx="220">
                  <c:v>231.90826830292025</c:v>
                </c:pt>
                <c:pt idx="221">
                  <c:v>233.85181257337101</c:v>
                </c:pt>
                <c:pt idx="222">
                  <c:v>235.80134950245395</c:v>
                </c:pt>
                <c:pt idx="223">
                  <c:v>237.75684943180755</c:v>
                </c:pt>
                <c:pt idx="224">
                  <c:v>239.71828269395419</c:v>
                </c:pt>
                <c:pt idx="225">
                  <c:v>241.68561961287116</c:v>
                </c:pt>
                <c:pt idx="226">
                  <c:v>243.65883050455909</c:v>
                </c:pt>
                <c:pt idx="227">
                  <c:v>245.63788567760784</c:v>
                </c:pt>
                <c:pt idx="228">
                  <c:v>247.62275543375966</c:v>
                </c:pt>
                <c:pt idx="229">
                  <c:v>249.61341006846965</c:v>
                </c:pt>
                <c:pt idx="230">
                  <c:v>251.60981987146346</c:v>
                </c:pt>
                <c:pt idx="231">
                  <c:v>253.61195512729248</c:v>
                </c:pt>
                <c:pt idx="232">
                  <c:v>255.61978611588603</c:v>
                </c:pt>
                <c:pt idx="233">
                  <c:v>257.63328311310084</c:v>
                </c:pt>
                <c:pt idx="234">
                  <c:v>259.65241639126788</c:v>
                </c:pt>
                <c:pt idx="235">
                  <c:v>261.6771562197361</c:v>
                </c:pt>
                <c:pt idx="236">
                  <c:v>263.70747286541371</c:v>
                </c:pt>
                <c:pt idx="237">
                  <c:v>265.7433365933062</c:v>
                </c:pt>
                <c:pt idx="238">
                  <c:v>267.78471766705167</c:v>
                </c:pt>
                <c:pt idx="239">
                  <c:v>269.8315863494534</c:v>
                </c:pt>
                <c:pt idx="240">
                  <c:v>271.88391290300927</c:v>
                </c:pt>
                <c:pt idx="241">
                  <c:v>273.94166759043844</c:v>
                </c:pt>
                <c:pt idx="242">
                  <c:v>276.00482067520483</c:v>
                </c:pt>
                <c:pt idx="243">
                  <c:v>278.07334242203791</c:v>
                </c:pt>
                <c:pt idx="244">
                  <c:v>280.14720309745042</c:v>
                </c:pt>
                <c:pt idx="245">
                  <c:v>282.22637297025284</c:v>
                </c:pt>
                <c:pt idx="246">
                  <c:v>284.3108223120654</c:v>
                </c:pt>
                <c:pt idx="247">
                  <c:v>286.40052139782637</c:v>
                </c:pt>
                <c:pt idx="248">
                  <c:v>288.49544050629777</c:v>
                </c:pt>
                <c:pt idx="249">
                  <c:v>290.59554992056798</c:v>
                </c:pt>
                <c:pt idx="250">
                  <c:v>292.70081992855108</c:v>
                </c:pt>
                <c:pt idx="251">
                  <c:v>294.81121853091122</c:v>
                </c:pt>
                <c:pt idx="252">
                  <c:v>296.92670914982585</c:v>
                </c:pt>
                <c:pt idx="253">
                  <c:v>299.04725292562813</c:v>
                </c:pt>
                <c:pt idx="254">
                  <c:v>301.1728110126997</c:v>
                </c:pt>
                <c:pt idx="255">
                  <c:v>303.30334458014386</c:v>
                </c:pt>
                <c:pt idx="256">
                  <c:v>305.43881481245364</c:v>
                </c:pt>
                <c:pt idx="257">
                  <c:v>307.5791829101745</c:v>
                </c:pt>
                <c:pt idx="258">
                  <c:v>309.72441009056178</c:v>
                </c:pt>
                <c:pt idx="259">
                  <c:v>311.87445758823276</c:v>
                </c:pt>
                <c:pt idx="260">
                  <c:v>314.02928665581362</c:v>
                </c:pt>
                <c:pt idx="261">
                  <c:v>316.1888585645807</c:v>
                </c:pt>
                <c:pt idx="262">
                  <c:v>318.35313460509673</c:v>
                </c:pt>
                <c:pt idx="263">
                  <c:v>320.52207608784158</c:v>
                </c:pt>
                <c:pt idx="264">
                  <c:v>322.69564434383773</c:v>
                </c:pt>
                <c:pt idx="265">
                  <c:v>324.87380072527014</c:v>
                </c:pt>
                <c:pt idx="266">
                  <c:v>327.05650660610087</c:v>
                </c:pt>
                <c:pt idx="267">
                  <c:v>329.24372338267841</c:v>
                </c:pt>
                <c:pt idx="268">
                  <c:v>331.43541247434138</c:v>
                </c:pt>
                <c:pt idx="269">
                  <c:v>333.63153532401702</c:v>
                </c:pt>
                <c:pt idx="270">
                  <c:v>335.83205339881414</c:v>
                </c:pt>
                <c:pt idx="271">
                  <c:v>338.03692819061052</c:v>
                </c:pt>
                <c:pt idx="272">
                  <c:v>340.24612121663523</c:v>
                </c:pt>
                <c:pt idx="273">
                  <c:v>342.45959402004507</c:v>
                </c:pt>
                <c:pt idx="274">
                  <c:v>344.67730817049608</c:v>
                </c:pt>
                <c:pt idx="275">
                  <c:v>346.89922526470895</c:v>
                </c:pt>
                <c:pt idx="276">
                  <c:v>349.12530692702967</c:v>
                </c:pt>
                <c:pt idx="277">
                  <c:v>351.35551480998419</c:v>
                </c:pt>
                <c:pt idx="278">
                  <c:v>353.58981059482784</c:v>
                </c:pt>
                <c:pt idx="279">
                  <c:v>355.82815599208931</c:v>
                </c:pt>
                <c:pt idx="280">
                  <c:v>358.0705127421092</c:v>
                </c:pt>
                <c:pt idx="281">
                  <c:v>360.31684261557291</c:v>
                </c:pt>
                <c:pt idx="282">
                  <c:v>362.56710741403822</c:v>
                </c:pt>
                <c:pt idx="283">
                  <c:v>364.82126897045742</c:v>
                </c:pt>
                <c:pt idx="284">
                  <c:v>367.07928914969403</c:v>
                </c:pt>
                <c:pt idx="285">
                  <c:v>369.34112984903385</c:v>
                </c:pt>
                <c:pt idx="286">
                  <c:v>371.60675299869064</c:v>
                </c:pt>
                <c:pt idx="287">
                  <c:v>373.8761205623066</c:v>
                </c:pt>
                <c:pt idx="288">
                  <c:v>376.14919453744699</c:v>
                </c:pt>
                <c:pt idx="289">
                  <c:v>378.42593695608957</c:v>
                </c:pt>
                <c:pt idx="290">
                  <c:v>380.70630988510851</c:v>
                </c:pt>
                <c:pt idx="291">
                  <c:v>382.99027542675299</c:v>
                </c:pt>
                <c:pt idx="292">
                  <c:v>385.27779571912009</c:v>
                </c:pt>
                <c:pt idx="293">
                  <c:v>387.56883293662253</c:v>
                </c:pt>
                <c:pt idx="294">
                  <c:v>389.8633492904508</c:v>
                </c:pt>
                <c:pt idx="295">
                  <c:v>392.16130702903013</c:v>
                </c:pt>
                <c:pt idx="296">
                  <c:v>394.46266843847172</c:v>
                </c:pt>
                <c:pt idx="297">
                  <c:v>396.76739584301885</c:v>
                </c:pt>
                <c:pt idx="298">
                  <c:v>399.07542636391133</c:v>
                </c:pt>
                <c:pt idx="299">
                  <c:v>401.3866467005185</c:v>
                </c:pt>
                <c:pt idx="300">
                  <c:v>403.70091843431464</c:v>
                </c:pt>
                <c:pt idx="301">
                  <c:v>406.01810331214421</c:v>
                </c:pt>
                <c:pt idx="302">
                  <c:v>408.33806324974847</c:v>
                </c:pt>
                <c:pt idx="303">
                  <c:v>410.6606603352285</c:v>
                </c:pt>
                <c:pt idx="304">
                  <c:v>412.98575683244439</c:v>
                </c:pt>
                <c:pt idx="305">
                  <c:v>415.31321518435101</c:v>
                </c:pt>
                <c:pt idx="306">
                  <c:v>417.6428980162699</c:v>
                </c:pt>
                <c:pt idx="307">
                  <c:v>419.97466813909784</c:v>
                </c:pt>
                <c:pt idx="308">
                  <c:v>422.3083885524523</c:v>
                </c:pt>
                <c:pt idx="309">
                  <c:v>424.64392244775337</c:v>
                </c:pt>
                <c:pt idx="310">
                  <c:v>426.98113321124271</c:v>
                </c:pt>
                <c:pt idx="311">
                  <c:v>429.31988442693984</c:v>
                </c:pt>
                <c:pt idx="312">
                  <c:v>431.66003987953536</c:v>
                </c:pt>
                <c:pt idx="313">
                  <c:v>434.00146355722188</c:v>
                </c:pt>
                <c:pt idx="314">
                  <c:v>436.34401965446256</c:v>
                </c:pt>
                <c:pt idx="315">
                  <c:v>438.68757257469724</c:v>
                </c:pt>
                <c:pt idx="316">
                  <c:v>441.03198693298702</c:v>
                </c:pt>
                <c:pt idx="317">
                  <c:v>443.37712755859684</c:v>
                </c:pt>
                <c:pt idx="318">
                  <c:v>445.72285949751665</c:v>
                </c:pt>
                <c:pt idx="319">
                  <c:v>448.06904801492141</c:v>
                </c:pt>
                <c:pt idx="320">
                  <c:v>450.41555859756994</c:v>
                </c:pt>
                <c:pt idx="321">
                  <c:v>452.7622670037851</c:v>
                </c:pt>
                <c:pt idx="322">
                  <c:v>455.10906929779424</c:v>
                </c:pt>
                <c:pt idx="323">
                  <c:v>457.45587176938403</c:v>
                </c:pt>
                <c:pt idx="324">
                  <c:v>459.80258086848056</c:v>
                </c:pt>
                <c:pt idx="325">
                  <c:v>462.14910320607339</c:v>
                </c:pt>
                <c:pt idx="326">
                  <c:v>464.49534555511127</c:v>
                </c:pt>
                <c:pt idx="327">
                  <c:v>466.84121485136887</c:v>
                </c:pt>
                <c:pt idx="328">
                  <c:v>469.18661819428553</c:v>
                </c:pt>
                <c:pt idx="329">
                  <c:v>471.53146284777546</c:v>
                </c:pt>
                <c:pt idx="330">
                  <c:v>473.87565624100995</c:v>
                </c:pt>
                <c:pt idx="331">
                  <c:v>476.21910596917178</c:v>
                </c:pt>
                <c:pt idx="332">
                  <c:v>478.56171979418207</c:v>
                </c:pt>
                <c:pt idx="333">
                  <c:v>480.90340564539929</c:v>
                </c:pt>
                <c:pt idx="334">
                  <c:v>483.24407162029132</c:v>
                </c:pt>
                <c:pt idx="335">
                  <c:v>485.58362598508029</c:v>
                </c:pt>
                <c:pt idx="336">
                  <c:v>487.92197717536033</c:v>
                </c:pt>
                <c:pt idx="337">
                  <c:v>490.25903379668893</c:v>
                </c:pt>
                <c:pt idx="338">
                  <c:v>492.59470462515151</c:v>
                </c:pt>
                <c:pt idx="339">
                  <c:v>494.92889860789978</c:v>
                </c:pt>
                <c:pt idx="340">
                  <c:v>497.26152486366402</c:v>
                </c:pt>
                <c:pt idx="341">
                  <c:v>499.59249268323924</c:v>
                </c:pt>
                <c:pt idx="342">
                  <c:v>501.92171152994592</c:v>
                </c:pt>
                <c:pt idx="343">
                  <c:v>504.24909104006497</c:v>
                </c:pt>
                <c:pt idx="344">
                  <c:v>506.57454102324749</c:v>
                </c:pt>
                <c:pt idx="345">
                  <c:v>508.89797146289942</c:v>
                </c:pt>
                <c:pt idx="346">
                  <c:v>511.21929251654126</c:v>
                </c:pt>
                <c:pt idx="347">
                  <c:v>513.53841451614312</c:v>
                </c:pt>
                <c:pt idx="348">
                  <c:v>515.85524905241698</c:v>
                </c:pt>
                <c:pt idx="349">
                  <c:v>518.1697100568997</c:v>
                </c:pt>
                <c:pt idx="350">
                  <c:v>520.4817127137527</c:v>
                </c:pt>
                <c:pt idx="351">
                  <c:v>522.79117237369076</c:v>
                </c:pt>
                <c:pt idx="352">
                  <c:v>525.09800455413438</c:v>
                </c:pt>
                <c:pt idx="353">
                  <c:v>527.40212493934087</c:v>
                </c:pt>
                <c:pt idx="354">
                  <c:v>529.7034493805146</c:v>
                </c:pt>
                <c:pt idx="355">
                  <c:v>532.00189389589696</c:v>
                </c:pt>
                <c:pt idx="356">
                  <c:v>534.29737467083555</c:v>
                </c:pt>
                <c:pt idx="357">
                  <c:v>536.58980805783335</c:v>
                </c:pt>
                <c:pt idx="358">
                  <c:v>538.87911057657732</c:v>
                </c:pt>
                <c:pt idx="359">
                  <c:v>541.16519891394796</c:v>
                </c:pt>
                <c:pt idx="360">
                  <c:v>543.44801246697205</c:v>
                </c:pt>
                <c:pt idx="361">
                  <c:v>545.72753583676149</c:v>
                </c:pt>
                <c:pt idx="362">
                  <c:v>548.00377618798007</c:v>
                </c:pt>
                <c:pt idx="363">
                  <c:v>550.27674065739689</c:v>
                </c:pt>
                <c:pt idx="364">
                  <c:v>552.5464363540309</c:v>
                </c:pt>
                <c:pt idx="365">
                  <c:v>554.81287035929472</c:v>
                </c:pt>
                <c:pt idx="366">
                  <c:v>557.07604972713705</c:v>
                </c:pt>
                <c:pt idx="367">
                  <c:v>559.33598148418446</c:v>
                </c:pt>
                <c:pt idx="368">
                  <c:v>561.59267262988249</c:v>
                </c:pt>
                <c:pt idx="369">
                  <c:v>563.84613013663511</c:v>
                </c:pt>
                <c:pt idx="370">
                  <c:v>566.09636094994414</c:v>
                </c:pt>
                <c:pt idx="371">
                  <c:v>568.34337198854701</c:v>
                </c:pt>
                <c:pt idx="372">
                  <c:v>570.58717014455419</c:v>
                </c:pt>
                <c:pt idx="373">
                  <c:v>572.82776228358534</c:v>
                </c:pt>
                <c:pt idx="374">
                  <c:v>575.06515524490487</c:v>
                </c:pt>
                <c:pt idx="375">
                  <c:v>577.29935584155646</c:v>
                </c:pt>
                <c:pt idx="376">
                  <c:v>579.53037086049665</c:v>
                </c:pt>
                <c:pt idx="377">
                  <c:v>581.75820706272771</c:v>
                </c:pt>
                <c:pt idx="378">
                  <c:v>583.98287118342989</c:v>
                </c:pt>
                <c:pt idx="379">
                  <c:v>586.20436993209216</c:v>
                </c:pt>
                <c:pt idx="380">
                  <c:v>588.42270999264269</c:v>
                </c:pt>
                <c:pt idx="381">
                  <c:v>590.63789802357837</c:v>
                </c:pt>
                <c:pt idx="382">
                  <c:v>592.84994065809326</c:v>
                </c:pt>
                <c:pt idx="383">
                  <c:v>595.0588445042066</c:v>
                </c:pt>
                <c:pt idx="384">
                  <c:v>597.26461614488971</c:v>
                </c:pt>
                <c:pt idx="385">
                  <c:v>599.46726213819215</c:v>
                </c:pt>
                <c:pt idx="386">
                  <c:v>601.66678901736714</c:v>
                </c:pt>
                <c:pt idx="387">
                  <c:v>603.86320329099613</c:v>
                </c:pt>
                <c:pt idx="388">
                  <c:v>606.05651144311264</c:v>
                </c:pt>
                <c:pt idx="389">
                  <c:v>608.24671993332538</c:v>
                </c:pt>
                <c:pt idx="390">
                  <c:v>610.43383519694021</c:v>
                </c:pt>
                <c:pt idx="391">
                  <c:v>612.6178636450818</c:v>
                </c:pt>
                <c:pt idx="392">
                  <c:v>614.79881166481437</c:v>
                </c:pt>
                <c:pt idx="393">
                  <c:v>616.97668561926162</c:v>
                </c:pt>
                <c:pt idx="394">
                  <c:v>619.15149184772565</c:v>
                </c:pt>
                <c:pt idx="395">
                  <c:v>621.32323666580578</c:v>
                </c:pt>
                <c:pt idx="396">
                  <c:v>623.49192636551595</c:v>
                </c:pt>
                <c:pt idx="397">
                  <c:v>625.65756721540185</c:v>
                </c:pt>
                <c:pt idx="398">
                  <c:v>627.82016546065722</c:v>
                </c:pt>
                <c:pt idx="399">
                  <c:v>629.9797273232391</c:v>
                </c:pt>
                <c:pt idx="400">
                  <c:v>632.13625900198269</c:v>
                </c:pt>
                <c:pt idx="401">
                  <c:v>653.53539404675041</c:v>
                </c:pt>
                <c:pt idx="402">
                  <c:v>674.63548225065961</c:v>
                </c:pt>
                <c:pt idx="403">
                  <c:v>695.4425041369102</c:v>
                </c:pt>
                <c:pt idx="404">
                  <c:v>715.96222361986725</c:v>
                </c:pt>
                <c:pt idx="405">
                  <c:v>736.20019831701836</c:v>
                </c:pt>
                <c:pt idx="406">
                  <c:v>756.16178924676285</c:v>
                </c:pt>
                <c:pt idx="407">
                  <c:v>775.85216995563576</c:v>
                </c:pt>
                <c:pt idx="408">
                  <c:v>795.27633511498607</c:v>
                </c:pt>
                <c:pt idx="409">
                  <c:v>814.43910862387588</c:v>
                </c:pt>
                <c:pt idx="410">
                  <c:v>833.3451512520146</c:v>
                </c:pt>
                <c:pt idx="411">
                  <c:v>851.99896785385999</c:v>
                </c:pt>
                <c:pt idx="412">
                  <c:v>870.40491418257523</c:v>
                </c:pt>
                <c:pt idx="413">
                  <c:v>888.56720333030694</c:v>
                </c:pt>
                <c:pt idx="414">
                  <c:v>906.48991181921906</c:v>
                </c:pt>
                <c:pt idx="415">
                  <c:v>924.17698536586602</c:v>
                </c:pt>
                <c:pt idx="416">
                  <c:v>941.63224433979383</c:v>
                </c:pt>
                <c:pt idx="417">
                  <c:v>958.85938893571051</c:v>
                </c:pt>
                <c:pt idx="418">
                  <c:v>975.86200407714568</c:v>
                </c:pt>
                <c:pt idx="419">
                  <c:v>992.64356406822026</c:v>
                </c:pt>
                <c:pt idx="420">
                  <c:v>1009.2074370089531</c:v>
                </c:pt>
                <c:pt idx="421">
                  <c:v>1025.556888988435</c:v>
                </c:pt>
                <c:pt idx="422">
                  <c:v>1041.6950880691913</c:v>
                </c:pt>
                <c:pt idx="423">
                  <c:v>1057.6251080751292</c:v>
                </c:pt>
                <c:pt idx="424">
                  <c:v>1073.3499321946092</c:v>
                </c:pt>
                <c:pt idx="425">
                  <c:v>1088.8724564093955</c:v>
                </c:pt>
                <c:pt idx="426">
                  <c:v>1104.1954927595093</c:v>
                </c:pt>
                <c:pt idx="427">
                  <c:v>1119.3217724533451</c:v>
                </c:pt>
                <c:pt idx="428">
                  <c:v>1134.2539488317827</c:v>
                </c:pt>
                <c:pt idx="429">
                  <c:v>1148.9946001944597</c:v>
                </c:pt>
                <c:pt idx="430">
                  <c:v>1163.5462324958387</c:v>
                </c:pt>
                <c:pt idx="431">
                  <c:v>1177.9112819182071</c:v>
                </c:pt>
                <c:pt idx="432">
                  <c:v>1192.0921173282998</c:v>
                </c:pt>
                <c:pt idx="433">
                  <c:v>1206.0910426238049</c:v>
                </c:pt>
                <c:pt idx="434">
                  <c:v>1219.9102989756268</c:v>
                </c:pt>
                <c:pt idx="435">
                  <c:v>1233.5520669714122</c:v>
                </c:pt>
                <c:pt idx="436">
                  <c:v>1247.0184686655082</c:v>
                </c:pt>
                <c:pt idx="437">
                  <c:v>1260.311569540208</c:v>
                </c:pt>
                <c:pt idx="438">
                  <c:v>1273.4333803828417</c:v>
                </c:pt>
                <c:pt idx="439">
                  <c:v>1286.3858590830041</c:v>
                </c:pt>
                <c:pt idx="440">
                  <c:v>1299.1709123539486</c:v>
                </c:pt>
                <c:pt idx="441">
                  <c:v>1311.7903973819464</c:v>
                </c:pt>
                <c:pt idx="442">
                  <c:v>1324.2461234071841</c:v>
                </c:pt>
                <c:pt idx="443">
                  <c:v>1336.5398532395679</c:v>
                </c:pt>
                <c:pt idx="444">
                  <c:v>1348.6733047126083</c:v>
                </c:pt>
                <c:pt idx="445">
                  <c:v>1360.64815207838</c:v>
                </c:pt>
                <c:pt idx="446">
                  <c:v>1372.4660273463821</c:v>
                </c:pt>
                <c:pt idx="447">
                  <c:v>1384.1285215689654</c:v>
                </c:pt>
                <c:pt idx="448">
                  <c:v>1395.6371860758452</c:v>
                </c:pt>
                <c:pt idx="449">
                  <c:v>1406.9935336600806</c:v>
                </c:pt>
                <c:pt idx="450">
                  <c:v>1418.1990397177699</c:v>
                </c:pt>
                <c:pt idx="451">
                  <c:v>1429.2551433435904</c:v>
                </c:pt>
                <c:pt idx="452">
                  <c:v>1440.1632483841963</c:v>
                </c:pt>
                <c:pt idx="453">
                  <c:v>1450.9247244513811</c:v>
                </c:pt>
                <c:pt idx="454">
                  <c:v>1461.5409078968084</c:v>
                </c:pt>
                <c:pt idx="455">
                  <c:v>1472.0131027500249</c:v>
                </c:pt>
                <c:pt idx="456">
                  <c:v>1482.3425816213714</c:v>
                </c:pt>
                <c:pt idx="457">
                  <c:v>1492.5305865713342</c:v>
                </c:pt>
                <c:pt idx="458">
                  <c:v>1502.5783299477914</c:v>
                </c:pt>
                <c:pt idx="459">
                  <c:v>1512.4869951925396</c:v>
                </c:pt>
                <c:pt idx="460">
                  <c:v>1522.257737618414</c:v>
                </c:pt>
                <c:pt idx="461">
                  <c:v>1531.8916851582489</c:v>
                </c:pt>
                <c:pt idx="462">
                  <c:v>1541.3899390868651</c:v>
                </c:pt>
                <c:pt idx="463">
                  <c:v>1550.7535747172094</c:v>
                </c:pt>
                <c:pt idx="464">
                  <c:v>1559.9836420717181</c:v>
                </c:pt>
                <c:pt idx="465">
                  <c:v>1569.0811665299216</c:v>
                </c:pt>
                <c:pt idx="466">
                  <c:v>1578.047149453261</c:v>
                </c:pt>
                <c:pt idx="467">
                  <c:v>1586.8825687880378</c:v>
                </c:pt>
                <c:pt idx="468">
                  <c:v>1595.5883796473747</c:v>
                </c:pt>
                <c:pt idx="469">
                  <c:v>1604.1655148730251</c:v>
                </c:pt>
                <c:pt idx="470">
                  <c:v>1612.6148855778265</c:v>
                </c:pt>
                <c:pt idx="471">
                  <c:v>1620.9373816695575</c:v>
                </c:pt>
                <c:pt idx="472">
                  <c:v>1629.1338723569229</c:v>
                </c:pt>
                <c:pt idx="473">
                  <c:v>1637.2052066383576</c:v>
                </c:pt>
                <c:pt idx="474">
                  <c:v>1645.1522137743054</c:v>
                </c:pt>
                <c:pt idx="475">
                  <c:v>1652.9757037436036</c:v>
                </c:pt>
                <c:pt idx="476">
                  <c:v>1660.6764676845719</c:v>
                </c:pt>
                <c:pt idx="477">
                  <c:v>1668.2552783213789</c:v>
                </c:pt>
                <c:pt idx="478">
                  <c:v>1675.7128903762325</c:v>
                </c:pt>
                <c:pt idx="479">
                  <c:v>1683.0500409679162</c:v>
                </c:pt>
                <c:pt idx="480">
                  <c:v>1690.2674499971729</c:v>
                </c:pt>
                <c:pt idx="481">
                  <c:v>1697.3658205194104</c:v>
                </c:pt>
                <c:pt idx="482">
                  <c:v>1704.3458391051872</c:v>
                </c:pt>
                <c:pt idx="483">
                  <c:v>1711.2081761889158</c:v>
                </c:pt>
                <c:pt idx="484">
                  <c:v>1717.9534864061973</c:v>
                </c:pt>
                <c:pt idx="485">
                  <c:v>1724.5824089201926</c:v>
                </c:pt>
                <c:pt idx="486">
                  <c:v>1731.0955677374084</c:v>
                </c:pt>
                <c:pt idx="487">
                  <c:v>1737.4935720132667</c:v>
                </c:pt>
                <c:pt idx="488">
                  <c:v>1743.7770163478096</c:v>
                </c:pt>
                <c:pt idx="489">
                  <c:v>1749.9464810718737</c:v>
                </c:pt>
                <c:pt idx="490">
                  <c:v>1756.0025325240588</c:v>
                </c:pt>
                <c:pt idx="491">
                  <c:v>1761.9457233188</c:v>
                </c:pt>
                <c:pt idx="492">
                  <c:v>1767.7765926058394</c:v>
                </c:pt>
                <c:pt idx="493">
                  <c:v>1773.4956663213836</c:v>
                </c:pt>
                <c:pt idx="494">
                  <c:v>1779.1034574312209</c:v>
                </c:pt>
                <c:pt idx="495">
                  <c:v>1784.6004661660593</c:v>
                </c:pt>
                <c:pt idx="496">
                  <c:v>1789.9871802493417</c:v>
                </c:pt>
                <c:pt idx="497">
                  <c:v>1795.2640751177805</c:v>
                </c:pt>
                <c:pt idx="498">
                  <c:v>1800.4316141348445</c:v>
                </c:pt>
                <c:pt idx="499">
                  <c:v>1805.4902487974282</c:v>
                </c:pt>
                <c:pt idx="500">
                  <c:v>1810.4404189359184</c:v>
                </c:pt>
                <c:pt idx="501">
                  <c:v>1815.2825529078721</c:v>
                </c:pt>
                <c:pt idx="502">
                  <c:v>1820.0170677855076</c:v>
                </c:pt>
                <c:pt idx="503">
                  <c:v>1824.6443695372097</c:v>
                </c:pt>
                <c:pt idx="504">
                  <c:v>1829.1648532032395</c:v>
                </c:pt>
                <c:pt idx="505">
                  <c:v>1833.5789030658382</c:v>
                </c:pt>
                <c:pt idx="506">
                  <c:v>1837.8868928139068</c:v>
                </c:pt>
                <c:pt idx="507">
                  <c:v>1842.0891857024446</c:v>
                </c:pt>
                <c:pt idx="508">
                  <c:v>1846.1861347069193</c:v>
                </c:pt>
                <c:pt idx="509">
                  <c:v>1850.1780826727481</c:v>
                </c:pt>
                <c:pt idx="510">
                  <c:v>1854.0653624600616</c:v>
                </c:pt>
                <c:pt idx="511">
                  <c:v>1857.8482970839252</c:v>
                </c:pt>
                <c:pt idx="512">
                  <c:v>1861.5271998501953</c:v>
                </c:pt>
                <c:pt idx="513">
                  <c:v>1865.1023744871854</c:v>
                </c:pt>
                <c:pt idx="514">
                  <c:v>1868.5741152733283</c:v>
                </c:pt>
                <c:pt idx="515">
                  <c:v>1871.942707161021</c:v>
                </c:pt>
                <c:pt idx="516">
                  <c:v>1875.2084258968514</c:v>
                </c:pt>
                <c:pt idx="517">
                  <c:v>1878.3715381384143</c:v>
                </c:pt>
                <c:pt idx="518">
                  <c:v>1881.4323015679408</c:v>
                </c:pt>
                <c:pt idx="519">
                  <c:v>1884.3909650029818</c:v>
                </c:pt>
                <c:pt idx="520">
                  <c:v>1887.2477685044103</c:v>
                </c:pt>
                <c:pt idx="521">
                  <c:v>1890.0029434820349</c:v>
                </c:pt>
                <c:pt idx="522">
                  <c:v>1892.6567127981516</c:v>
                </c:pt>
                <c:pt idx="523">
                  <c:v>1895.2092908694053</c:v>
                </c:pt>
                <c:pt idx="524">
                  <c:v>1897.6608837673834</c:v>
                </c:pt>
                <c:pt idx="525">
                  <c:v>1900.011689318432</c:v>
                </c:pt>
                <c:pt idx="526">
                  <c:v>1902.2618972032606</c:v>
                </c:pt>
                <c:pt idx="527">
                  <c:v>1904.4116890570019</c:v>
                </c:pt>
                <c:pt idx="528">
                  <c:v>1906.4612385705093</c:v>
                </c:pt>
                <c:pt idx="529">
                  <c:v>1908.4107115938189</c:v>
                </c:pt>
                <c:pt idx="530">
                  <c:v>1910.260266242879</c:v>
                </c:pt>
                <c:pt idx="531">
                  <c:v>1912.0100530108571</c:v>
                </c:pt>
                <c:pt idx="532">
                  <c:v>1913.6602148855902</c:v>
                </c:pt>
                <c:pt idx="533">
                  <c:v>1915.2108874750452</c:v>
                </c:pt>
                <c:pt idx="534">
                  <c:v>1916.6621991430081</c:v>
                </c:pt>
                <c:pt idx="535">
                  <c:v>1918.0142711576364</c:v>
                </c:pt>
                <c:pt idx="536">
                  <c:v>1919.2672178559733</c:v>
                </c:pt>
                <c:pt idx="537">
                  <c:v>1920.421146828048</c:v>
                </c:pt>
                <c:pt idx="538">
                  <c:v>1921.47615912473</c:v>
                </c:pt>
                <c:pt idx="539">
                  <c:v>1922.4323494940593</c:v>
                </c:pt>
                <c:pt idx="540">
                  <c:v>1923.2898066512682</c:v>
                </c:pt>
                <c:pt idx="541">
                  <c:v>1924.0486135880608</c:v>
                </c:pt>
                <c:pt idx="542">
                  <c:v>1924.7088479268193</c:v>
                </c:pt>
                <c:pt idx="543">
                  <c:v>1925.2705823251067</c:v>
                </c:pt>
                <c:pt idx="544">
                  <c:v>1925.7338849349876</c:v>
                </c:pt>
                <c:pt idx="545">
                  <c:v>1926.098819920139</c:v>
                </c:pt>
                <c:pt idx="546">
                  <c:v>1926.3654480313908</c:v>
                </c:pt>
                <c:pt idx="547">
                  <c:v>1926.5338272382439</c:v>
                </c:pt>
                <c:pt idx="548">
                  <c:v>1926.6040134102664</c:v>
                </c:pt>
                <c:pt idx="549">
                  <c:v>1926.5760610384211</c:v>
                </c:pt>
                <c:pt idx="550">
                  <c:v>1926.4500239828867</c:v>
                </c:pt>
                <c:pt idx="551">
                  <c:v>1926.2259562313372</c:v>
                </c:pt>
                <c:pt idx="552">
                  <c:v>1925.9039126504497</c:v>
                </c:pt>
                <c:pt idx="553">
                  <c:v>1925.4839497138166</c:v>
                </c:pt>
                <c:pt idx="554">
                  <c:v>1924.9661261913986</c:v>
                </c:pt>
                <c:pt idx="555">
                  <c:v>1924.3505037887717</c:v>
                </c:pt>
                <c:pt idx="556">
                  <c:v>1923.6371477281789</c:v>
                </c:pt>
                <c:pt idx="557">
                  <c:v>1922.8261272672082</c:v>
                </c:pt>
                <c:pt idx="558">
                  <c:v>1921.9175161543301</c:v>
                </c:pt>
                <c:pt idx="559">
                  <c:v>1920.9113930232534</c:v>
                </c:pt>
                <c:pt idx="560">
                  <c:v>1919.8078417299937</c:v>
                </c:pt>
                <c:pt idx="561">
                  <c:v>1918.6069516377181</c:v>
                </c:pt>
                <c:pt idx="562">
                  <c:v>1917.308817854982</c:v>
                </c:pt>
                <c:pt idx="563">
                  <c:v>1915.913541433034</c:v>
                </c:pt>
                <c:pt idx="564">
                  <c:v>1914.4212295276163</c:v>
                </c:pt>
                <c:pt idx="565">
                  <c:v>1912.8319955302391</c:v>
                </c:pt>
                <c:pt idx="566">
                  <c:v>1911.1459591733683</c:v>
                </c:pt>
                <c:pt idx="567">
                  <c:v>1909.3632466134022</c:v>
                </c:pt>
                <c:pt idx="568">
                  <c:v>1907.4839904947689</c:v>
                </c:pt>
                <c:pt idx="569">
                  <c:v>1905.508329997974</c:v>
                </c:pt>
                <c:pt idx="570">
                  <c:v>1903.4364108739844</c:v>
                </c:pt>
                <c:pt idx="571">
                  <c:v>1901.2683854669472</c:v>
                </c:pt>
                <c:pt idx="572">
                  <c:v>1899.0044127269102</c:v>
                </c:pt>
                <c:pt idx="573">
                  <c:v>1896.6446582139386</c:v>
                </c:pt>
                <c:pt idx="574">
                  <c:v>1894.1892940947776</c:v>
                </c:pt>
                <c:pt idx="575">
                  <c:v>1891.6384991330322</c:v>
                </c:pt>
                <c:pt idx="576">
                  <c:v>1888.9924586736595</c:v>
                </c:pt>
                <c:pt idx="577">
                  <c:v>1886.2513646224493</c:v>
                </c:pt>
                <c:pt idx="578">
                  <c:v>1883.4154154210496</c:v>
                </c:pt>
                <c:pt idx="579">
                  <c:v>1880.4848160180125</c:v>
                </c:pt>
                <c:pt idx="580">
                  <c:v>1877.459777836254</c:v>
                </c:pt>
                <c:pt idx="581">
                  <c:v>1874.3405187372655</c:v>
                </c:pt>
                <c:pt idx="582">
                  <c:v>1871.127262982362</c:v>
                </c:pt>
                <c:pt idx="583">
                  <c:v>1867.8202411912127</c:v>
                </c:pt>
                <c:pt idx="584">
                  <c:v>1864.4196902978604</c:v>
                </c:pt>
                <c:pt idx="585">
                  <c:v>1860.9258535044144</c:v>
                </c:pt>
                <c:pt idx="586">
                  <c:v>1857.3389802325721</c:v>
                </c:pt>
                <c:pt idx="587">
                  <c:v>1853.6593260731083</c:v>
                </c:pt>
                <c:pt idx="588">
                  <c:v>1849.8871527334529</c:v>
                </c:pt>
                <c:pt idx="589">
                  <c:v>1846.0227279834653</c:v>
                </c:pt>
                <c:pt idx="590">
                  <c:v>1842.0663255995005</c:v>
                </c:pt>
                <c:pt idx="591">
                  <c:v>1838.018225306856</c:v>
                </c:pt>
                <c:pt idx="592">
                  <c:v>1833.8787127206756</c:v>
                </c:pt>
                <c:pt idx="593">
                  <c:v>1829.6480792853833</c:v>
                </c:pt>
                <c:pt idx="594">
                  <c:v>1825.3266222127129</c:v>
                </c:pt>
                <c:pt idx="595">
                  <c:v>1820.9146444183946</c:v>
                </c:pt>
                <c:pt idx="596">
                  <c:v>1816.4124544575561</c:v>
                </c:pt>
                <c:pt idx="597">
                  <c:v>1811.8203664588918</c:v>
                </c:pt>
                <c:pt idx="598">
                  <c:v>1807.1387000576501</c:v>
                </c:pt>
                <c:pt idx="599">
                  <c:v>1802.3677803274886</c:v>
                </c:pt>
                <c:pt idx="600">
                  <c:v>1797.5079377112415</c:v>
                </c:pt>
                <c:pt idx="601">
                  <c:v>1792.5595079506459</c:v>
                </c:pt>
                <c:pt idx="602">
                  <c:v>1787.5228320150661</c:v>
                </c:pt>
                <c:pt idx="603">
                  <c:v>1782.3982560292618</c:v>
                </c:pt>
                <c:pt idx="604">
                  <c:v>1777.1861312002361</c:v>
                </c:pt>
                <c:pt idx="605">
                  <c:v>1771.8868137432066</c:v>
                </c:pt>
                <c:pt idx="606">
                  <c:v>1766.5006648067342</c:v>
                </c:pt>
                <c:pt idx="607">
                  <c:v>1761.0280503970494</c:v>
                </c:pt>
                <c:pt idx="608">
                  <c:v>1755.4693413016128</c:v>
                </c:pt>
                <c:pt idx="609">
                  <c:v>1749.8249130119464</c:v>
                </c:pt>
                <c:pt idx="610">
                  <c:v>1744.0951456457697</c:v>
                </c:pt>
                <c:pt idx="611">
                  <c:v>1738.2804238684782</c:v>
                </c:pt>
                <c:pt idx="612">
                  <c:v>1732.3811368139982</c:v>
                </c:pt>
                <c:pt idx="613">
                  <c:v>1726.3976780050521</c:v>
                </c:pt>
                <c:pt idx="614">
                  <c:v>1720.3304452728692</c:v>
                </c:pt>
                <c:pt idx="615">
                  <c:v>1714.1798406763753</c:v>
                </c:pt>
                <c:pt idx="616">
                  <c:v>1707.9462704208943</c:v>
                </c:pt>
                <c:pt idx="617">
                  <c:v>1701.6301447763958</c:v>
                </c:pt>
                <c:pt idx="618">
                  <c:v>1695.2318779953216</c:v>
                </c:pt>
                <c:pt idx="619">
                  <c:v>1688.7518882300226</c:v>
                </c:pt>
                <c:pt idx="620">
                  <c:v>1682.1905974498395</c:v>
                </c:pt>
                <c:pt idx="621">
                  <c:v>1675.5484313578595</c:v>
                </c:pt>
                <c:pt idx="622">
                  <c:v>1668.8258193073791</c:v>
                </c:pt>
                <c:pt idx="623">
                  <c:v>1662.0231942181076</c:v>
                </c:pt>
                <c:pt idx="624">
                  <c:v>1655.1409924921395</c:v>
                </c:pt>
                <c:pt idx="625">
                  <c:v>1648.1796539297277</c:v>
                </c:pt>
                <c:pt idx="626">
                  <c:v>1641.1396216448893</c:v>
                </c:pt>
                <c:pt idx="627">
                  <c:v>1634.0213419808729</c:v>
                </c:pt>
                <c:pt idx="628">
                  <c:v>1626.8252644255183</c:v>
                </c:pt>
                <c:pt idx="629">
                  <c:v>1619.5518415265374</c:v>
                </c:pt>
                <c:pt idx="630">
                  <c:v>1612.2015288067471</c:v>
                </c:pt>
                <c:pt idx="631">
                  <c:v>1604.7747846792822</c:v>
                </c:pt>
                <c:pt idx="632">
                  <c:v>1597.2720703628174</c:v>
                </c:pt>
                <c:pt idx="633">
                  <c:v>1589.693849796827</c:v>
                </c:pt>
                <c:pt idx="634">
                  <c:v>1582.0405895569095</c:v>
                </c:pt>
                <c:pt idx="635">
                  <c:v>1574.3127587702068</c:v>
                </c:pt>
                <c:pt idx="636">
                  <c:v>1566.5108290309433</c:v>
                </c:pt>
                <c:pt idx="637">
                  <c:v>1558.6352743161124</c:v>
                </c:pt>
                <c:pt idx="638">
                  <c:v>1550.6865709013373</c:v>
                </c:pt>
                <c:pt idx="639">
                  <c:v>1542.665197276933</c:v>
                </c:pt>
                <c:pt idx="640">
                  <c:v>1534.5716340641932</c:v>
                </c:pt>
                <c:pt idx="641">
                  <c:v>1526.4063639319299</c:v>
                </c:pt>
                <c:pt idx="642">
                  <c:v>1518.1698715132891</c:v>
                </c:pt>
                <c:pt idx="643">
                  <c:v>1509.8626433228674</c:v>
                </c:pt>
                <c:pt idx="644">
                  <c:v>1501.4851676741537</c:v>
                </c:pt>
                <c:pt idx="645">
                  <c:v>1493.0379345973206</c:v>
                </c:pt>
                <c:pt idx="646">
                  <c:v>1484.5214357573868</c:v>
                </c:pt>
                <c:pt idx="647">
                  <c:v>1475.9361643727755</c:v>
                </c:pt>
                <c:pt idx="648">
                  <c:v>1467.2826151342886</c:v>
                </c:pt>
                <c:pt idx="649">
                  <c:v>1458.5612841245211</c:v>
                </c:pt>
                <c:pt idx="650">
                  <c:v>1449.7726687377358</c:v>
                </c:pt>
                <c:pt idx="651">
                  <c:v>1440.9172676002188</c:v>
                </c:pt>
                <c:pt idx="652">
                  <c:v>1431.9955804911372</c:v>
                </c:pt>
                <c:pt idx="653">
                  <c:v>1423.0081082639185</c:v>
                </c:pt>
                <c:pt idx="654">
                  <c:v>1413.9553527681715</c:v>
                </c:pt>
                <c:pt idx="655">
                  <c:v>1404.8378167721662</c:v>
                </c:pt>
                <c:pt idx="656">
                  <c:v>1395.6560038858945</c:v>
                </c:pt>
                <c:pt idx="657">
                  <c:v>1386.4104184847258</c:v>
                </c:pt>
                <c:pt idx="658">
                  <c:v>1377.1015656336772</c:v>
                </c:pt>
                <c:pt idx="659">
                  <c:v>1367.7299510123153</c:v>
                </c:pt>
                <c:pt idx="660">
                  <c:v>1358.2960808403056</c:v>
                </c:pt>
                <c:pt idx="661">
                  <c:v>1348.8004618036257</c:v>
                </c:pt>
                <c:pt idx="662">
                  <c:v>1339.2436009814562</c:v>
                </c:pt>
                <c:pt idx="663">
                  <c:v>1329.6260057737679</c:v>
                </c:pt>
                <c:pt idx="664">
                  <c:v>1319.9481838296163</c:v>
                </c:pt>
                <c:pt idx="665">
                  <c:v>1310.2106429761586</c:v>
                </c:pt>
                <c:pt idx="666">
                  <c:v>1300.4138911484079</c:v>
                </c:pt>
                <c:pt idx="667">
                  <c:v>1290.5584363197338</c:v>
                </c:pt>
                <c:pt idx="668">
                  <c:v>1280.644786433128</c:v>
                </c:pt>
                <c:pt idx="669">
                  <c:v>1270.6734493332401</c:v>
                </c:pt>
                <c:pt idx="670">
                  <c:v>1260.6449326991994</c:v>
                </c:pt>
                <c:pt idx="671">
                  <c:v>1250.5597439782334</c:v>
                </c:pt>
                <c:pt idx="672">
                  <c:v>1240.4183903200906</c:v>
                </c:pt>
                <c:pt idx="673">
                  <c:v>1230.2213785122804</c:v>
                </c:pt>
                <c:pt idx="674">
                  <c:v>1219.969214916139</c:v>
                </c:pt>
                <c:pt idx="675">
                  <c:v>1209.6624054037288</c:v>
                </c:pt>
                <c:pt idx="676">
                  <c:v>1199.3014552955819</c:v>
                </c:pt>
                <c:pt idx="677">
                  <c:v>1188.8868692992935</c:v>
                </c:pt>
                <c:pt idx="678">
                  <c:v>1178.4191514489748</c:v>
                </c:pt>
                <c:pt idx="679">
                  <c:v>1167.8988050455707</c:v>
                </c:pt>
                <c:pt idx="680">
                  <c:v>1157.3263325980502</c:v>
                </c:pt>
                <c:pt idx="681">
                  <c:v>1146.7022357654744</c:v>
                </c:pt>
                <c:pt idx="682">
                  <c:v>1136.0270152999492</c:v>
                </c:pt>
                <c:pt idx="683">
                  <c:v>1125.3011709904663</c:v>
                </c:pt>
                <c:pt idx="684">
                  <c:v>1114.5252016076386</c:v>
                </c:pt>
                <c:pt idx="685">
                  <c:v>1103.6996048493329</c:v>
                </c:pt>
                <c:pt idx="686">
                  <c:v>1092.8248772872055</c:v>
                </c:pt>
                <c:pt idx="687">
                  <c:v>1081.9015143141417</c:v>
                </c:pt>
                <c:pt idx="688">
                  <c:v>1070.9300100926052</c:v>
                </c:pt>
                <c:pt idx="689">
                  <c:v>1059.9108575038981</c:v>
                </c:pt>
                <c:pt idx="690">
                  <c:v>1048.8445480983321</c:v>
                </c:pt>
                <c:pt idx="691">
                  <c:v>1037.7315720463166</c:v>
                </c:pt>
                <c:pt idx="692">
                  <c:v>1026.5724180903624</c:v>
                </c:pt>
                <c:pt idx="693">
                  <c:v>1015.3675734980013</c:v>
                </c:pt>
                <c:pt idx="694">
                  <c:v>1004.1175240156247</c:v>
                </c:pt>
                <c:pt idx="695">
                  <c:v>992.82275382323849</c:v>
                </c:pt>
                <c:pt idx="696">
                  <c:v>981.48374549013693</c:v>
                </c:pt>
                <c:pt idx="697">
                  <c:v>970.10097993149213</c:v>
                </c:pt>
                <c:pt idx="698">
                  <c:v>958.67493636586028</c:v>
                </c:pt>
                <c:pt idx="699">
                  <c:v>947.20609227360205</c:v>
                </c:pt>
                <c:pt idx="700">
                  <c:v>935.69492335621669</c:v>
                </c:pt>
                <c:pt idx="701">
                  <c:v>924.14190349658634</c:v>
                </c:pt>
                <c:pt idx="702">
                  <c:v>912.54750472012961</c:v>
                </c:pt>
                <c:pt idx="703">
                  <c:v>900.91219715686111</c:v>
                </c:pt>
                <c:pt idx="704">
                  <c:v>889.23644900435397</c:v>
                </c:pt>
                <c:pt idx="705">
                  <c:v>877.52072649160266</c:v>
                </c:pt>
                <c:pt idx="706">
                  <c:v>865.76549384378131</c:v>
                </c:pt>
                <c:pt idx="707">
                  <c:v>853.97121324789543</c:v>
                </c:pt>
                <c:pt idx="708">
                  <c:v>842.13834481932122</c:v>
                </c:pt>
                <c:pt idx="709">
                  <c:v>830.26734656922895</c:v>
                </c:pt>
                <c:pt idx="710">
                  <c:v>818.35867437288573</c:v>
                </c:pt>
                <c:pt idx="711">
                  <c:v>806.41278193883238</c:v>
                </c:pt>
                <c:pt idx="712">
                  <c:v>794.43012077892934</c:v>
                </c:pt>
                <c:pt idx="713">
                  <c:v>782.41114017926611</c:v>
                </c:pt>
                <c:pt idx="714">
                  <c:v>770.35628717192878</c:v>
                </c:pt>
                <c:pt idx="715">
                  <c:v>758.26600650761952</c:v>
                </c:pt>
                <c:pt idx="716">
                  <c:v>746.14074062912164</c:v>
                </c:pt>
                <c:pt idx="717">
                  <c:v>733.98092964560465</c:v>
                </c:pt>
                <c:pt idx="718">
                  <c:v>721.78701130776165</c:v>
                </c:pt>
                <c:pt idx="719">
                  <c:v>709.55942098377329</c:v>
                </c:pt>
                <c:pt idx="720">
                  <c:v>697.29859163609115</c:v>
                </c:pt>
                <c:pt idx="721">
                  <c:v>685.00495379903271</c:v>
                </c:pt>
                <c:pt idx="722">
                  <c:v>672.67893555718103</c:v>
                </c:pt>
                <c:pt idx="723">
                  <c:v>660.32096252458246</c:v>
                </c:pt>
                <c:pt idx="724">
                  <c:v>647.93145782473323</c:v>
                </c:pt>
                <c:pt idx="725">
                  <c:v>635.51084207134818</c:v>
                </c:pt>
                <c:pt idx="726">
                  <c:v>623.0595333499034</c:v>
                </c:pt>
                <c:pt idx="727">
                  <c:v>610.57794719994445</c:v>
                </c:pt>
                <c:pt idx="728">
                  <c:v>598.06649659815241</c:v>
                </c:pt>
                <c:pt idx="729">
                  <c:v>585.52559194215905</c:v>
                </c:pt>
                <c:pt idx="730">
                  <c:v>572.95564103510253</c:v>
                </c:pt>
                <c:pt idx="731">
                  <c:v>560.35704907091588</c:v>
                </c:pt>
                <c:pt idx="732">
                  <c:v>547.73021862033795</c:v>
                </c:pt>
                <c:pt idx="733">
                  <c:v>535.07554961764004</c:v>
                </c:pt>
                <c:pt idx="734">
                  <c:v>522.39343934805765</c:v>
                </c:pt>
                <c:pt idx="735">
                  <c:v>509.68428243591944</c:v>
                </c:pt>
                <c:pt idx="736">
                  <c:v>496.94847083346383</c:v>
                </c:pt>
                <c:pt idx="737">
                  <c:v>484.18639381033415</c:v>
                </c:pt>
                <c:pt idx="738">
                  <c:v>471.39843794374332</c:v>
                </c:pt>
                <c:pt idx="739">
                  <c:v>458.58498710929871</c:v>
                </c:pt>
                <c:pt idx="740">
                  <c:v>445.74642247247806</c:v>
                </c:pt>
                <c:pt idx="741">
                  <c:v>432.88312248074652</c:v>
                </c:pt>
                <c:pt idx="742">
                  <c:v>419.99546285630623</c:v>
                </c:pt>
                <c:pt idx="743">
                  <c:v>407.0838165894682</c:v>
                </c:pt>
                <c:pt idx="744">
                  <c:v>394.14855393263758</c:v>
                </c:pt>
                <c:pt idx="745">
                  <c:v>381.19004239490249</c:v>
                </c:pt>
                <c:pt idx="746">
                  <c:v>368.20864673721695</c:v>
                </c:pt>
                <c:pt idx="747">
                  <c:v>355.20472896816852</c:v>
                </c:pt>
                <c:pt idx="748">
                  <c:v>342.17864834032065</c:v>
                </c:pt>
                <c:pt idx="749">
                  <c:v>329.13076134712071</c:v>
                </c:pt>
                <c:pt idx="750">
                  <c:v>316.06142172036385</c:v>
                </c:pt>
                <c:pt idx="751">
                  <c:v>302.97098042820272</c:v>
                </c:pt>
                <c:pt idx="752">
                  <c:v>289.85978567369443</c:v>
                </c:pt>
                <c:pt idx="753">
                  <c:v>276.72818289387408</c:v>
                </c:pt>
                <c:pt idx="754">
                  <c:v>263.57651475934608</c:v>
                </c:pt>
                <c:pt idx="755">
                  <c:v>250.40512117438362</c:v>
                </c:pt>
                <c:pt idx="756">
                  <c:v>237.21433927752619</c:v>
                </c:pt>
                <c:pt idx="757">
                  <c:v>224.00450344266642</c:v>
                </c:pt>
                <c:pt idx="758">
                  <c:v>210.77594528061636</c:v>
                </c:pt>
                <c:pt idx="759">
                  <c:v>197.52899364114376</c:v>
                </c:pt>
                <c:pt idx="760">
                  <c:v>184.26397461546912</c:v>
                </c:pt>
                <c:pt idx="761">
                  <c:v>170.98121153921414</c:v>
                </c:pt>
                <c:pt idx="762">
                  <c:v>157.68102499579197</c:v>
                </c:pt>
                <c:pt idx="763">
                  <c:v>144.36373282023041</c:v>
                </c:pt>
                <c:pt idx="764">
                  <c:v>131.02965010341862</c:v>
                </c:pt>
                <c:pt idx="765">
                  <c:v>117.67908919676805</c:v>
                </c:pt>
                <c:pt idx="766">
                  <c:v>104.31235971727882</c:v>
                </c:pt>
                <c:pt idx="767">
                  <c:v>90.929768553002205</c:v>
                </c:pt>
                <c:pt idx="768">
                  <c:v>77.531619868890274</c:v>
                </c:pt>
                <c:pt idx="769">
                  <c:v>64.118215113023922</c:v>
                </c:pt>
                <c:pt idx="770">
                  <c:v>50.689853023210226</c:v>
                </c:pt>
                <c:pt idx="771">
                  <c:v>37.246829633940479</c:v>
                </c:pt>
                <c:pt idx="772">
                  <c:v>23.789438283700058</c:v>
                </c:pt>
                <c:pt idx="773">
                  <c:v>10.317969622621556</c:v>
                </c:pt>
                <c:pt idx="774">
                  <c:v>-3.1672883795274487</c:v>
                </c:pt>
                <c:pt idx="775">
                  <c:v>-3.1807804672232578</c:v>
                </c:pt>
                <c:pt idx="776">
                  <c:v>-3.1942725682809878</c:v>
                </c:pt>
                <c:pt idx="777">
                  <c:v>-3.2077646827003581</c:v>
                </c:pt>
                <c:pt idx="778">
                  <c:v>-3.2212568104810879</c:v>
                </c:pt>
                <c:pt idx="779">
                  <c:v>-3.2347489516228962</c:v>
                </c:pt>
                <c:pt idx="780">
                  <c:v>-3.2482411061255019</c:v>
                </c:pt>
                <c:pt idx="781">
                  <c:v>-3.2617332739886242</c:v>
                </c:pt>
                <c:pt idx="782">
                  <c:v>-3.2752254552119826</c:v>
                </c:pt>
                <c:pt idx="783">
                  <c:v>-3.2887176497952959</c:v>
                </c:pt>
                <c:pt idx="784">
                  <c:v>-3.3022098577382835</c:v>
                </c:pt>
                <c:pt idx="785">
                  <c:v>-3.3157020790406646</c:v>
                </c:pt>
                <c:pt idx="786">
                  <c:v>-3.3291943137021582</c:v>
                </c:pt>
                <c:pt idx="787">
                  <c:v>-3.3426865617224837</c:v>
                </c:pt>
                <c:pt idx="788">
                  <c:v>-3.3561788231013598</c:v>
                </c:pt>
                <c:pt idx="789">
                  <c:v>-3.369671097838506</c:v>
                </c:pt>
                <c:pt idx="790">
                  <c:v>-3.3831633859336416</c:v>
                </c:pt>
                <c:pt idx="791">
                  <c:v>-3.3966556873864855</c:v>
                </c:pt>
                <c:pt idx="792">
                  <c:v>-3.410148002196757</c:v>
                </c:pt>
                <c:pt idx="793">
                  <c:v>-3.4236403303641754</c:v>
                </c:pt>
                <c:pt idx="794">
                  <c:v>-3.4371326718884596</c:v>
                </c:pt>
                <c:pt idx="795">
                  <c:v>-3.450625026769329</c:v>
                </c:pt>
                <c:pt idx="796">
                  <c:v>-3.464117395006503</c:v>
                </c:pt>
                <c:pt idx="797">
                  <c:v>-3.4776097765997003</c:v>
                </c:pt>
                <c:pt idx="798">
                  <c:v>-3.4911021715486403</c:v>
                </c:pt>
                <c:pt idx="799">
                  <c:v>-3.5045945798530425</c:v>
                </c:pt>
                <c:pt idx="800">
                  <c:v>-3.5180870015126255</c:v>
                </c:pt>
                <c:pt idx="801">
                  <c:v>-3.5315794365271089</c:v>
                </c:pt>
                <c:pt idx="802">
                  <c:v>-3.5450718848962119</c:v>
                </c:pt>
                <c:pt idx="803">
                  <c:v>-3.5585643466196539</c:v>
                </c:pt>
                <c:pt idx="804">
                  <c:v>-3.5720568216971538</c:v>
                </c:pt>
                <c:pt idx="805">
                  <c:v>-3.5855493101284308</c:v>
                </c:pt>
                <c:pt idx="806">
                  <c:v>-3.5990418119132044</c:v>
                </c:pt>
                <c:pt idx="807">
                  <c:v>-3.6125343270511934</c:v>
                </c:pt>
                <c:pt idx="808">
                  <c:v>-3.6260268555421171</c:v>
                </c:pt>
                <c:pt idx="809">
                  <c:v>-3.639519397385695</c:v>
                </c:pt>
                <c:pt idx="810">
                  <c:v>-3.6530119525816462</c:v>
                </c:pt>
                <c:pt idx="811">
                  <c:v>-3.6665045211296903</c:v>
                </c:pt>
                <c:pt idx="812">
                  <c:v>-3.679997103029546</c:v>
                </c:pt>
                <c:pt idx="813">
                  <c:v>-3.6934896982809327</c:v>
                </c:pt>
                <c:pt idx="814">
                  <c:v>-3.7069823068835697</c:v>
                </c:pt>
                <c:pt idx="815">
                  <c:v>-3.7204749288371759</c:v>
                </c:pt>
                <c:pt idx="816">
                  <c:v>-3.7339675641414711</c:v>
                </c:pt>
                <c:pt idx="817">
                  <c:v>-3.7474602127961743</c:v>
                </c:pt>
                <c:pt idx="818">
                  <c:v>-3.7609528748010046</c:v>
                </c:pt>
                <c:pt idx="819">
                  <c:v>-3.7744455501556815</c:v>
                </c:pt>
                <c:pt idx="820">
                  <c:v>-3.7879382388599239</c:v>
                </c:pt>
                <c:pt idx="821">
                  <c:v>-3.8014309409134515</c:v>
                </c:pt>
                <c:pt idx="822">
                  <c:v>-3.8149236563159832</c:v>
                </c:pt>
                <c:pt idx="823">
                  <c:v>-3.8284163850672384</c:v>
                </c:pt>
                <c:pt idx="824">
                  <c:v>-3.8419091271669363</c:v>
                </c:pt>
                <c:pt idx="825">
                  <c:v>-3.8554018826147964</c:v>
                </c:pt>
                <c:pt idx="826">
                  <c:v>-3.868894651410538</c:v>
                </c:pt>
                <c:pt idx="827">
                  <c:v>-3.8823874335538799</c:v>
                </c:pt>
                <c:pt idx="828">
                  <c:v>-3.895880229044542</c:v>
                </c:pt>
                <c:pt idx="829">
                  <c:v>-3.9093730378822431</c:v>
                </c:pt>
                <c:pt idx="830">
                  <c:v>-3.9228658600667026</c:v>
                </c:pt>
                <c:pt idx="831">
                  <c:v>-3.9363586955976397</c:v>
                </c:pt>
                <c:pt idx="832">
                  <c:v>-3.9498515444747739</c:v>
                </c:pt>
                <c:pt idx="833">
                  <c:v>-3.9633444066978245</c:v>
                </c:pt>
                <c:pt idx="834">
                  <c:v>-3.9768372822665103</c:v>
                </c:pt>
                <c:pt idx="835">
                  <c:v>-3.9903301711805512</c:v>
                </c:pt>
                <c:pt idx="836">
                  <c:v>-4.0038230734396665</c:v>
                </c:pt>
                <c:pt idx="837">
                  <c:v>-4.017315989043575</c:v>
                </c:pt>
                <c:pt idx="838">
                  <c:v>-4.0308089179919966</c:v>
                </c:pt>
                <c:pt idx="839">
                  <c:v>-4.0443018602846497</c:v>
                </c:pt>
                <c:pt idx="840">
                  <c:v>-4.0577948159212545</c:v>
                </c:pt>
                <c:pt idx="841">
                  <c:v>-4.0712877849015303</c:v>
                </c:pt>
                <c:pt idx="842">
                  <c:v>-4.0847807672251957</c:v>
                </c:pt>
                <c:pt idx="843">
                  <c:v>-4.0982737628919708</c:v>
                </c:pt>
                <c:pt idx="844">
                  <c:v>-4.111766771901574</c:v>
                </c:pt>
                <c:pt idx="845">
                  <c:v>-4.1252597942537257</c:v>
                </c:pt>
                <c:pt idx="846">
                  <c:v>-4.1387528299481442</c:v>
                </c:pt>
                <c:pt idx="847">
                  <c:v>-4.1522458789845498</c:v>
                </c:pt>
                <c:pt idx="848">
                  <c:v>-4.1657389413626609</c:v>
                </c:pt>
                <c:pt idx="849">
                  <c:v>-4.1792320170821977</c:v>
                </c:pt>
                <c:pt idx="850">
                  <c:v>-4.1927251061428787</c:v>
                </c:pt>
                <c:pt idx="851">
                  <c:v>-4.2062182085444242</c:v>
                </c:pt>
                <c:pt idx="852">
                  <c:v>-4.2197113242865525</c:v>
                </c:pt>
                <c:pt idx="853">
                  <c:v>-4.233204453368983</c:v>
                </c:pt>
                <c:pt idx="854">
                  <c:v>-4.2466975957914359</c:v>
                </c:pt>
                <c:pt idx="855">
                  <c:v>-4.2601907515536297</c:v>
                </c:pt>
                <c:pt idx="856">
                  <c:v>-4.2736839206552846</c:v>
                </c:pt>
                <c:pt idx="857">
                  <c:v>-4.2871771030961199</c:v>
                </c:pt>
                <c:pt idx="858">
                  <c:v>-4.3006702988758541</c:v>
                </c:pt>
                <c:pt idx="859">
                  <c:v>-4.3141635079942073</c:v>
                </c:pt>
                <c:pt idx="860">
                  <c:v>-4.3276567304508982</c:v>
                </c:pt>
                <c:pt idx="861">
                  <c:v>-4.3411499662456468</c:v>
                </c:pt>
                <c:pt idx="862">
                  <c:v>-4.3546432153781724</c:v>
                </c:pt>
                <c:pt idx="863">
                  <c:v>-4.3681364778481937</c:v>
                </c:pt>
                <c:pt idx="864">
                  <c:v>-4.3816297536554307</c:v>
                </c:pt>
                <c:pt idx="865">
                  <c:v>-4.3951230427996029</c:v>
                </c:pt>
                <c:pt idx="866">
                  <c:v>-4.4086163452804294</c:v>
                </c:pt>
                <c:pt idx="867">
                  <c:v>-4.4221096610976289</c:v>
                </c:pt>
                <c:pt idx="868">
                  <c:v>-4.4356029902509215</c:v>
                </c:pt>
                <c:pt idx="869">
                  <c:v>-4.4490963327400266</c:v>
                </c:pt>
                <c:pt idx="870">
                  <c:v>-4.4625896885646634</c:v>
                </c:pt>
                <c:pt idx="871">
                  <c:v>-4.4760830577245523</c:v>
                </c:pt>
                <c:pt idx="872">
                  <c:v>-4.4895764402194116</c:v>
                </c:pt>
                <c:pt idx="873">
                  <c:v>-4.5030698360489607</c:v>
                </c:pt>
                <c:pt idx="874">
                  <c:v>-4.516563245212919</c:v>
                </c:pt>
                <c:pt idx="875">
                  <c:v>-4.5300566677110066</c:v>
                </c:pt>
                <c:pt idx="876">
                  <c:v>-4.543550103542942</c:v>
                </c:pt>
                <c:pt idx="877">
                  <c:v>-4.5570435527084454</c:v>
                </c:pt>
                <c:pt idx="878">
                  <c:v>-4.5705370152072353</c:v>
                </c:pt>
                <c:pt idx="879">
                  <c:v>-4.5840304910390319</c:v>
                </c:pt>
                <c:pt idx="880">
                  <c:v>-4.5975239802035546</c:v>
                </c:pt>
                <c:pt idx="881">
                  <c:v>-4.6110174827005217</c:v>
                </c:pt>
                <c:pt idx="882">
                  <c:v>-4.6245109985296535</c:v>
                </c:pt>
                <c:pt idx="883">
                  <c:v>-4.6380045276906694</c:v>
                </c:pt>
                <c:pt idx="884">
                  <c:v>-4.6514980701832895</c:v>
                </c:pt>
                <c:pt idx="885">
                  <c:v>-4.6649916260072324</c:v>
                </c:pt>
                <c:pt idx="886">
                  <c:v>-4.6784851951622173</c:v>
                </c:pt>
                <c:pt idx="887">
                  <c:v>-4.6919787776479644</c:v>
                </c:pt>
                <c:pt idx="888">
                  <c:v>-4.7054723734641923</c:v>
                </c:pt>
                <c:pt idx="889">
                  <c:v>-4.7189659826106212</c:v>
                </c:pt>
                <c:pt idx="890">
                  <c:v>-4.7324596050869703</c:v>
                </c:pt>
                <c:pt idx="891">
                  <c:v>-4.745953240892959</c:v>
                </c:pt>
                <c:pt idx="892">
                  <c:v>-4.7594468900283067</c:v>
                </c:pt>
                <c:pt idx="893">
                  <c:v>-4.7729405524927326</c:v>
                </c:pt>
                <c:pt idx="894">
                  <c:v>-4.7864342282859562</c:v>
                </c:pt>
                <c:pt idx="895">
                  <c:v>-4.7999279174076968</c:v>
                </c:pt>
                <c:pt idx="896">
                  <c:v>-4.8134216198576745</c:v>
                </c:pt>
                <c:pt idx="897">
                  <c:v>-4.8269153356356087</c:v>
                </c:pt>
                <c:pt idx="898">
                  <c:v>-4.8404090647412188</c:v>
                </c:pt>
                <c:pt idx="899">
                  <c:v>-4.8539028071742241</c:v>
                </c:pt>
                <c:pt idx="900">
                  <c:v>-4.8673965629343439</c:v>
                </c:pt>
                <c:pt idx="901">
                  <c:v>-4.8808903320212975</c:v>
                </c:pt>
                <c:pt idx="902">
                  <c:v>-4.8943841144348044</c:v>
                </c:pt>
                <c:pt idx="903">
                  <c:v>-4.9078779101745846</c:v>
                </c:pt>
                <c:pt idx="904">
                  <c:v>-4.9213717192403577</c:v>
                </c:pt>
                <c:pt idx="905">
                  <c:v>-4.9348655416318428</c:v>
                </c:pt>
                <c:pt idx="906">
                  <c:v>-4.9483593773487593</c:v>
                </c:pt>
                <c:pt idx="907">
                  <c:v>-4.9618532263908266</c:v>
                </c:pt>
                <c:pt idx="908">
                  <c:v>-4.975347088757764</c:v>
                </c:pt>
                <c:pt idx="909">
                  <c:v>-4.9888409644492917</c:v>
                </c:pt>
                <c:pt idx="910">
                  <c:v>-5.0023348534651291</c:v>
                </c:pt>
                <c:pt idx="911">
                  <c:v>-5.0158287558049945</c:v>
                </c:pt>
                <c:pt idx="912">
                  <c:v>-5.0293226714686092</c:v>
                </c:pt>
                <c:pt idx="913">
                  <c:v>-5.0428166004556916</c:v>
                </c:pt>
                <c:pt idx="914">
                  <c:v>-5.0563105427659609</c:v>
                </c:pt>
                <c:pt idx="915">
                  <c:v>-5.0698044983991375</c:v>
                </c:pt>
                <c:pt idx="916">
                  <c:v>-5.0832984673549406</c:v>
                </c:pt>
                <c:pt idx="917">
                  <c:v>-5.0967924496330896</c:v>
                </c:pt>
                <c:pt idx="918">
                  <c:v>-5.1102864452333039</c:v>
                </c:pt>
                <c:pt idx="919">
                  <c:v>-5.1237804541553036</c:v>
                </c:pt>
                <c:pt idx="920">
                  <c:v>-5.1372744763988072</c:v>
                </c:pt>
                <c:pt idx="921">
                  <c:v>-5.1507685119635349</c:v>
                </c:pt>
                <c:pt idx="922">
                  <c:v>-5.1642625608492061</c:v>
                </c:pt>
                <c:pt idx="923">
                  <c:v>-5.1777566230555401</c:v>
                </c:pt>
                <c:pt idx="924">
                  <c:v>-5.1912506985822571</c:v>
                </c:pt>
                <c:pt idx="925">
                  <c:v>-5.2047447874290764</c:v>
                </c:pt>
                <c:pt idx="926">
                  <c:v>-5.2182388895957175</c:v>
                </c:pt>
                <c:pt idx="927">
                  <c:v>-5.2317330050818995</c:v>
                </c:pt>
                <c:pt idx="928">
                  <c:v>-5.245227133887342</c:v>
                </c:pt>
                <c:pt idx="929">
                  <c:v>-5.258721276011765</c:v>
                </c:pt>
                <c:pt idx="930">
                  <c:v>-5.2722154314548879</c:v>
                </c:pt>
                <c:pt idx="931">
                  <c:v>-5.2857096002164301</c:v>
                </c:pt>
                <c:pt idx="932">
                  <c:v>-5.2992037822961109</c:v>
                </c:pt>
                <c:pt idx="933">
                  <c:v>-5.3126979776936505</c:v>
                </c:pt>
                <c:pt idx="934">
                  <c:v>-5.3261921864087682</c:v>
                </c:pt>
                <c:pt idx="935">
                  <c:v>-5.3396864084411835</c:v>
                </c:pt>
                <c:pt idx="936">
                  <c:v>-5.3531806437906155</c:v>
                </c:pt>
                <c:pt idx="937">
                  <c:v>-5.3666748924567846</c:v>
                </c:pt>
                <c:pt idx="938">
                  <c:v>-5.3801691544394092</c:v>
                </c:pt>
                <c:pt idx="939">
                  <c:v>-5.3936634297382096</c:v>
                </c:pt>
                <c:pt idx="940">
                  <c:v>-5.4071577183529058</c:v>
                </c:pt>
                <c:pt idx="941">
                  <c:v>-5.4206520202832165</c:v>
                </c:pt>
                <c:pt idx="942">
                  <c:v>-5.4341463355288617</c:v>
                </c:pt>
                <c:pt idx="943">
                  <c:v>-5.4476406640895618</c:v>
                </c:pt>
                <c:pt idx="944">
                  <c:v>-5.4611350059650352</c:v>
                </c:pt>
                <c:pt idx="945">
                  <c:v>-5.4746293611550021</c:v>
                </c:pt>
                <c:pt idx="946">
                  <c:v>-5.4881237296591818</c:v>
                </c:pt>
                <c:pt idx="947">
                  <c:v>-5.5016181114772937</c:v>
                </c:pt>
                <c:pt idx="948">
                  <c:v>-5.5151125066090581</c:v>
                </c:pt>
                <c:pt idx="949">
                  <c:v>-5.5286069150541941</c:v>
                </c:pt>
                <c:pt idx="950">
                  <c:v>-5.5421013368124212</c:v>
                </c:pt>
                <c:pt idx="951">
                  <c:v>-5.5555957718834588</c:v>
                </c:pt>
                <c:pt idx="952">
                  <c:v>-5.5690902202670269</c:v>
                </c:pt>
                <c:pt idx="953">
                  <c:v>-5.5825846819628451</c:v>
                </c:pt>
                <c:pt idx="954">
                  <c:v>-5.5960791569706325</c:v>
                </c:pt>
                <c:pt idx="955">
                  <c:v>-5.6095736452901095</c:v>
                </c:pt>
                <c:pt idx="956">
                  <c:v>-5.6230681469209953</c:v>
                </c:pt>
                <c:pt idx="957">
                  <c:v>-5.6365626618630094</c:v>
                </c:pt>
                <c:pt idx="958">
                  <c:v>-5.6500571901158718</c:v>
                </c:pt>
                <c:pt idx="959">
                  <c:v>-5.663551731679302</c:v>
                </c:pt>
                <c:pt idx="960">
                  <c:v>-5.6770462865530193</c:v>
                </c:pt>
                <c:pt idx="961">
                  <c:v>-5.690540854736744</c:v>
                </c:pt>
                <c:pt idx="962">
                  <c:v>-5.7040354362301953</c:v>
                </c:pt>
                <c:pt idx="963">
                  <c:v>-5.7175300310330925</c:v>
                </c:pt>
                <c:pt idx="964">
                  <c:v>-5.731024639145156</c:v>
                </c:pt>
                <c:pt idx="965">
                  <c:v>-5.7445192605661051</c:v>
                </c:pt>
                <c:pt idx="966">
                  <c:v>-5.758013895295659</c:v>
                </c:pt>
                <c:pt idx="967">
                  <c:v>-5.771508543333538</c:v>
                </c:pt>
                <c:pt idx="968">
                  <c:v>-5.7850032046794606</c:v>
                </c:pt>
                <c:pt idx="969">
                  <c:v>-5.7984978793331479</c:v>
                </c:pt>
                <c:pt idx="970">
                  <c:v>-5.8119925672943182</c:v>
                </c:pt>
                <c:pt idx="971">
                  <c:v>-5.8254872685626928</c:v>
                </c:pt>
                <c:pt idx="972">
                  <c:v>-5.8389819831379901</c:v>
                </c:pt>
                <c:pt idx="973">
                  <c:v>-5.8524767110199303</c:v>
                </c:pt>
                <c:pt idx="974">
                  <c:v>-5.8659714522082327</c:v>
                </c:pt>
                <c:pt idx="975">
                  <c:v>-5.8794662067026167</c:v>
                </c:pt>
                <c:pt idx="976">
                  <c:v>-5.8929609745028024</c:v>
                </c:pt>
                <c:pt idx="977">
                  <c:v>-5.9064557556085093</c:v>
                </c:pt>
                <c:pt idx="978">
                  <c:v>-5.9199505500194576</c:v>
                </c:pt>
                <c:pt idx="979">
                  <c:v>-5.9334453577353665</c:v>
                </c:pt>
                <c:pt idx="980">
                  <c:v>-5.9469401787559555</c:v>
                </c:pt>
                <c:pt idx="981">
                  <c:v>-5.9604350130809447</c:v>
                </c:pt>
                <c:pt idx="982">
                  <c:v>-5.9739298607100535</c:v>
                </c:pt>
                <c:pt idx="983">
                  <c:v>-5.9874247216430021</c:v>
                </c:pt>
                <c:pt idx="984">
                  <c:v>-6.0009195958795098</c:v>
                </c:pt>
                <c:pt idx="985">
                  <c:v>-6.0144144834192961</c:v>
                </c:pt>
                <c:pt idx="986">
                  <c:v>-6.027909384262081</c:v>
                </c:pt>
                <c:pt idx="987">
                  <c:v>-6.041404298407584</c:v>
                </c:pt>
                <c:pt idx="988">
                  <c:v>-6.0548992258555243</c:v>
                </c:pt>
                <c:pt idx="989">
                  <c:v>-6.0683941666056223</c:v>
                </c:pt>
                <c:pt idx="990">
                  <c:v>-6.081889120657598</c:v>
                </c:pt>
                <c:pt idx="991">
                  <c:v>-6.09538408801117</c:v>
                </c:pt>
                <c:pt idx="992">
                  <c:v>-6.1088790686660586</c:v>
                </c:pt>
                <c:pt idx="993">
                  <c:v>-6.1223740626219838</c:v>
                </c:pt>
                <c:pt idx="994">
                  <c:v>-6.1358690698786651</c:v>
                </c:pt>
                <c:pt idx="995">
                  <c:v>-6.1493640904358227</c:v>
                </c:pt>
                <c:pt idx="996">
                  <c:v>-6.162859124293175</c:v>
                </c:pt>
                <c:pt idx="997">
                  <c:v>-6.1763541714504431</c:v>
                </c:pt>
                <c:pt idx="998">
                  <c:v>-6.1898492319073455</c:v>
                </c:pt>
                <c:pt idx="999">
                  <c:v>-6.2033443056636033</c:v>
                </c:pt>
                <c:pt idx="1000">
                  <c:v>-6.2168393927189349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3B-6442-AFEC-07E56791BA28}"/>
            </c:ext>
          </c:extLst>
        </c:ser>
        <c:ser>
          <c:idx val="4"/>
          <c:order val="3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Trajecto!$B$140:$B$146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Trajecto!$C$138:$C$144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B-6442-AFEC-07E56791BA28}"/>
            </c:ext>
          </c:extLst>
        </c:ser>
        <c:ser>
          <c:idx val="5"/>
          <c:order val="4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1.1575008333550919E-5</c:v>
                </c:pt>
                <c:pt idx="2">
                  <c:v>1.5465489219880008E-4</c:v>
                </c:pt>
                <c:pt idx="3">
                  <c:v>6.4602359700519411E-4</c:v>
                </c:pt>
                <c:pt idx="4">
                  <c:v>1.7026534988934978E-3</c:v>
                </c:pt>
                <c:pt idx="5">
                  <c:v>3.5417848542089146E-3</c:v>
                </c:pt>
                <c:pt idx="6">
                  <c:v>6.3260476542593772E-3</c:v>
                </c:pt>
                <c:pt idx="7">
                  <c:v>1.0108416120635464E-2</c:v>
                </c:pt>
                <c:pt idx="8">
                  <c:v>1.4886966115561714E-2</c:v>
                </c:pt>
                <c:pt idx="9">
                  <c:v>2.0659760456411769E-2</c:v>
                </c:pt>
                <c:pt idx="10">
                  <c:v>2.7424848953685237E-2</c:v>
                </c:pt>
                <c:pt idx="11">
                  <c:v>3.5180268449625525E-2</c:v>
                </c:pt>
                <c:pt idx="12">
                  <c:v>4.3924042857475185E-2</c:v>
                </c:pt>
                <c:pt idx="13">
                  <c:v>5.3654183201365099E-2</c:v>
                </c:pt>
                <c:pt idx="14">
                  <c:v>6.4368687656833928E-2</c:v>
                </c:pt>
                <c:pt idx="15">
                  <c:v>7.6065541591974054E-2</c:v>
                </c:pt>
                <c:pt idx="16">
                  <c:v>8.8742717609200189E-2</c:v>
                </c:pt>
                <c:pt idx="17">
                  <c:v>0.10239817558763686</c:v>
                </c:pt>
                <c:pt idx="18">
                  <c:v>0.11702986272612073</c:v>
                </c:pt>
                <c:pt idx="19">
                  <c:v>0.13263571358681378</c:v>
                </c:pt>
                <c:pt idx="20">
                  <c:v>0.14921365013942328</c:v>
                </c:pt>
                <c:pt idx="21">
                  <c:v>0.16676158180602449</c:v>
                </c:pt>
                <c:pt idx="22">
                  <c:v>0.18527740550648159</c:v>
                </c:pt>
                <c:pt idx="23">
                  <c:v>0.20475900570446287</c:v>
                </c:pt>
                <c:pt idx="24">
                  <c:v>0.22520425445404574</c:v>
                </c:pt>
                <c:pt idx="25">
                  <c:v>0.246611011446907</c:v>
                </c:pt>
                <c:pt idx="26">
                  <c:v>0.268977124060094</c:v>
                </c:pt>
                <c:pt idx="27">
                  <c:v>0.29230042740437223</c:v>
                </c:pt>
                <c:pt idx="28">
                  <c:v>0.3165787443731447</c:v>
                </c:pt>
                <c:pt idx="29">
                  <c:v>0.3418098856919381</c:v>
                </c:pt>
                <c:pt idx="30">
                  <c:v>0.36799164996845168</c:v>
                </c:pt>
                <c:pt idx="31">
                  <c:v>0.39516443635950987</c:v>
                </c:pt>
                <c:pt idx="32">
                  <c:v>0.42337019462833253</c:v>
                </c:pt>
                <c:pt idx="33">
                  <c:v>0.45260978459303747</c:v>
                </c:pt>
                <c:pt idx="34">
                  <c:v>0.48288397474011274</c:v>
                </c:pt>
                <c:pt idx="35">
                  <c:v>0.51419342181869698</c:v>
                </c:pt>
                <c:pt idx="36">
                  <c:v>0.54653867660011435</c:v>
                </c:pt>
                <c:pt idx="37">
                  <c:v>0.57992018913264198</c:v>
                </c:pt>
                <c:pt idx="38">
                  <c:v>0.61433831354996371</c:v>
                </c:pt>
                <c:pt idx="39">
                  <c:v>0.64979331248350891</c:v>
                </c:pt>
                <c:pt idx="40">
                  <c:v>0.68628536112198657</c:v>
                </c:pt>
                <c:pt idx="41">
                  <c:v>0.72381455095564151</c:v>
                </c:pt>
                <c:pt idx="42">
                  <c:v>0.76238089323788372</c:v>
                </c:pt>
                <c:pt idx="43">
                  <c:v>0.80198432219280891</c:v>
                </c:pt>
                <c:pt idx="44">
                  <c:v>0.84262469799360684</c:v>
                </c:pt>
                <c:pt idx="45">
                  <c:v>0.88430180953384874</c:v>
                </c:pt>
                <c:pt idx="46">
                  <c:v>0.92701537701105807</c:v>
                </c:pt>
                <c:pt idx="47">
                  <c:v>0.97076505433974547</c:v>
                </c:pt>
                <c:pt idx="48">
                  <c:v>1.0155504314091603</c:v>
                </c:pt>
                <c:pt idx="49">
                  <c:v>1.0613710361993434</c:v>
                </c:pt>
                <c:pt idx="50">
                  <c:v>1.1082263367676026</c:v>
                </c:pt>
                <c:pt idx="51">
                  <c:v>1.1561160481836537</c:v>
                </c:pt>
                <c:pt idx="52">
                  <c:v>1.2050404415998694</c:v>
                </c:pt>
                <c:pt idx="53">
                  <c:v>1.2550000437855131</c:v>
                </c:pt>
                <c:pt idx="54">
                  <c:v>1.3059953342340382</c:v>
                </c:pt>
                <c:pt idx="55">
                  <c:v>1.3580267464678213</c:v>
                </c:pt>
                <c:pt idx="56">
                  <c:v>1.4110946692731958</c:v>
                </c:pt>
                <c:pt idx="57">
                  <c:v>1.4651994478708552</c:v>
                </c:pt>
                <c:pt idx="58">
                  <c:v>1.5203413850262455</c:v>
                </c:pt>
                <c:pt idx="59">
                  <c:v>1.5765207421041598</c:v>
                </c:pt>
                <c:pt idx="60">
                  <c:v>1.6337377400713895</c:v>
                </c:pt>
                <c:pt idx="61">
                  <c:v>1.6919925604509545</c:v>
                </c:pt>
                <c:pt idx="62">
                  <c:v>1.75128534623115</c:v>
                </c:pt>
                <c:pt idx="63">
                  <c:v>1.8116162027323757</c:v>
                </c:pt>
                <c:pt idx="64">
                  <c:v>1.8729851984344801</c:v>
                </c:pt>
                <c:pt idx="65">
                  <c:v>1.9353923657671328</c:v>
                </c:pt>
                <c:pt idx="66">
                  <c:v>1.9988377018655443</c:v>
                </c:pt>
                <c:pt idx="67">
                  <c:v>2.0633211692936748</c:v>
                </c:pt>
                <c:pt idx="68">
                  <c:v>2.1288426967369096</c:v>
                </c:pt>
                <c:pt idx="69">
                  <c:v>2.1954021796660359</c:v>
                </c:pt>
                <c:pt idx="70">
                  <c:v>2.2629994809742167</c:v>
                </c:pt>
                <c:pt idx="71">
                  <c:v>2.3316344315885393</c:v>
                </c:pt>
                <c:pt idx="72">
                  <c:v>2.4013068310576</c:v>
                </c:pt>
                <c:pt idx="73">
                  <c:v>2.4720164481164857</c:v>
                </c:pt>
                <c:pt idx="74">
                  <c:v>2.5437630212304208</c:v>
                </c:pt>
                <c:pt idx="75">
                  <c:v>2.6165462591182593</c:v>
                </c:pt>
                <c:pt idx="76">
                  <c:v>2.6903658412569191</c:v>
                </c:pt>
                <c:pt idx="77">
                  <c:v>2.765221418367791</c:v>
                </c:pt>
                <c:pt idx="78">
                  <c:v>2.8411126128860813</c:v>
                </c:pt>
                <c:pt idx="79">
                  <c:v>2.9180390194139818</c:v>
                </c:pt>
                <c:pt idx="80">
                  <c:v>2.9960002051585159</c:v>
                </c:pt>
                <c:pt idx="81">
                  <c:v>3.0749957103548398</c:v>
                </c:pt>
                <c:pt idx="82">
                  <c:v>3.1550250486757436</c:v>
                </c:pt>
                <c:pt idx="83">
                  <c:v>3.2360877076280428</c:v>
                </c:pt>
                <c:pt idx="84">
                  <c:v>3.3181831489365119</c:v>
                </c:pt>
                <c:pt idx="85">
                  <c:v>3.4013108089159698</c:v>
                </c:pt>
                <c:pt idx="86">
                  <c:v>3.4854700988320957</c:v>
                </c:pt>
                <c:pt idx="87">
                  <c:v>3.5706604052515152</c:v>
                </c:pt>
                <c:pt idx="88">
                  <c:v>3.656881090381666</c:v>
                </c:pt>
                <c:pt idx="89">
                  <c:v>3.7441314924009252</c:v>
                </c:pt>
                <c:pt idx="90">
                  <c:v>3.8324109257794539</c:v>
                </c:pt>
                <c:pt idx="91">
                  <c:v>3.9217186815911802</c:v>
                </c:pt>
                <c:pt idx="92">
                  <c:v>4.0120540278173333</c:v>
                </c:pt>
                <c:pt idx="93">
                  <c:v>4.1034162096419058</c:v>
                </c:pt>
                <c:pt idx="94">
                  <c:v>4.1958044497394047</c:v>
                </c:pt>
                <c:pt idx="95">
                  <c:v>4.289217948555236</c:v>
                </c:pt>
                <c:pt idx="96">
                  <c:v>4.3836558845790439</c:v>
                </c:pt>
                <c:pt idx="97">
                  <c:v>4.4791174146113146</c:v>
                </c:pt>
                <c:pt idx="98">
                  <c:v>4.5756016740235266</c:v>
                </c:pt>
                <c:pt idx="99">
                  <c:v>4.6731077770121336</c:v>
                </c:pt>
                <c:pt idx="100">
                  <c:v>4.7716348168466336</c:v>
                </c:pt>
                <c:pt idx="101">
                  <c:v>4.8711817150636607</c:v>
                </c:pt>
                <c:pt idx="102">
                  <c:v>4.9717470700293145</c:v>
                </c:pt>
                <c:pt idx="103">
                  <c:v>5.0733293074317274</c:v>
                </c:pt>
                <c:pt idx="104">
                  <c:v>5.1759268314128466</c:v>
                </c:pt>
                <c:pt idx="105">
                  <c:v>5.2795380248258628</c:v>
                </c:pt>
                <c:pt idx="106">
                  <c:v>5.3841612494874385</c:v>
                </c:pt>
                <c:pt idx="107">
                  <c:v>5.4897948464249469</c:v>
                </c:pt>
                <c:pt idx="108">
                  <c:v>5.5964371361189125</c:v>
                </c:pt>
                <c:pt idx="109">
                  <c:v>5.7040864187408555</c:v>
                </c:pt>
                <c:pt idx="110">
                  <c:v>5.8127409743867036</c:v>
                </c:pt>
                <c:pt idx="111">
                  <c:v>5.9223990633059476</c:v>
                </c:pt>
                <c:pt idx="112">
                  <c:v>6.03305892612671</c:v>
                </c:pt>
                <c:pt idx="113">
                  <c:v>6.1447187840768729</c:v>
                </c:pt>
                <c:pt idx="114">
                  <c:v>6.2573768392014113</c:v>
                </c:pt>
                <c:pt idx="115">
                  <c:v>6.3710312745760804</c:v>
                </c:pt>
                <c:pt idx="116">
                  <c:v>6.485680254517586</c:v>
                </c:pt>
                <c:pt idx="117">
                  <c:v>6.6013219247903647</c:v>
                </c:pt>
                <c:pt idx="118">
                  <c:v>6.7179544128100988</c:v>
                </c:pt>
                <c:pt idx="119">
                  <c:v>6.835575827844079</c:v>
                </c:pt>
                <c:pt idx="120">
                  <c:v>6.9541842612085318</c:v>
                </c:pt>
                <c:pt idx="121">
                  <c:v>7.07377778646301</c:v>
                </c:pt>
                <c:pt idx="122">
                  <c:v>7.1943544596019562</c:v>
                </c:pt>
                <c:pt idx="123">
                  <c:v>7.3159123192435258</c:v>
                </c:pt>
                <c:pt idx="124">
                  <c:v>7.4384493868157735</c:v>
                </c:pt>
                <c:pt idx="125">
                  <c:v>7.5619636667402848</c:v>
                </c:pt>
                <c:pt idx="126">
                  <c:v>7.6864531466133386</c:v>
                </c:pt>
                <c:pt idx="127">
                  <c:v>7.8119157973846818</c:v>
                </c:pt>
                <c:pt idx="128">
                  <c:v>7.9383495735339942</c:v>
                </c:pt>
                <c:pt idx="129">
                  <c:v>8.0657524132451215</c:v>
                </c:pt>
                <c:pt idx="130">
                  <c:v>8.1941222385781352</c:v>
                </c:pt>
                <c:pt idx="131">
                  <c:v>8.3234569556393065</c:v>
                </c:pt>
                <c:pt idx="132">
                  <c:v>8.4537544547490384</c:v>
                </c:pt>
                <c:pt idx="133">
                  <c:v>8.585012610607837</c:v>
                </c:pt>
                <c:pt idx="134">
                  <c:v>8.7172292824603694</c:v>
                </c:pt>
                <c:pt idx="135">
                  <c:v>8.8504023142576695</c:v>
                </c:pt>
                <c:pt idx="136">
                  <c:v>8.9845295348175487</c:v>
                </c:pt>
                <c:pt idx="137">
                  <c:v>9.1196087579832597</c:v>
                </c:pt>
                <c:pt idx="138">
                  <c:v>9.2556377827804717</c:v>
                </c:pt>
                <c:pt idx="139">
                  <c:v>9.3926143935725914</c:v>
                </c:pt>
                <c:pt idx="140">
                  <c:v>9.5305363602144926</c:v>
                </c:pt>
                <c:pt idx="141">
                  <c:v>9.6694014382046873</c:v>
                </c:pt>
                <c:pt idx="142">
                  <c:v>9.8092073688359847</c:v>
                </c:pt>
                <c:pt idx="143">
                  <c:v>9.9499518793446828</c:v>
                </c:pt>
                <c:pt idx="144">
                  <c:v>10.091632683058323</c:v>
                </c:pt>
                <c:pt idx="145">
                  <c:v>10.234247479542056</c:v>
                </c:pt>
                <c:pt idx="146">
                  <c:v>10.377793954743641</c:v>
                </c:pt>
                <c:pt idx="147">
                  <c:v>10.522269781137139</c:v>
                </c:pt>
                <c:pt idx="148">
                  <c:v>10.667672617865296</c:v>
                </c:pt>
                <c:pt idx="149">
                  <c:v>10.814000110880681</c:v>
                </c:pt>
                <c:pt idx="150">
                  <c:v>10.961249893085593</c:v>
                </c:pt>
                <c:pt idx="151">
                  <c:v>11.10941963823659</c:v>
                </c:pt>
                <c:pt idx="152">
                  <c:v>11.258507114992467</c:v>
                </c:pt>
                <c:pt idx="153">
                  <c:v>11.408510133445811</c:v>
                </c:pt>
                <c:pt idx="154">
                  <c:v>11.559426491504416</c:v>
                </c:pt>
                <c:pt idx="155">
                  <c:v>11.711253975016765</c:v>
                </c:pt>
                <c:pt idx="156">
                  <c:v>11.863990357896526</c:v>
                </c:pt>
                <c:pt idx="157">
                  <c:v>12.017633402246089</c:v>
                </c:pt>
                <c:pt idx="158">
                  <c:v>12.172180858479164</c:v>
                </c:pt>
                <c:pt idx="159">
                  <c:v>12.327630465442461</c:v>
                </c:pt>
                <c:pt idx="160">
                  <c:v>12.48397995053646</c:v>
                </c:pt>
                <c:pt idx="161">
                  <c:v>12.641227029835317</c:v>
                </c:pt>
                <c:pt idx="162">
                  <c:v>12.799369408205889</c:v>
                </c:pt>
                <c:pt idx="163">
                  <c:v>12.958404779425921</c:v>
                </c:pt>
                <c:pt idx="164">
                  <c:v>13.118330826301406</c:v>
                </c:pt>
                <c:pt idx="165">
                  <c:v>13.279145220783121</c:v>
                </c:pt>
                <c:pt idx="166">
                  <c:v>13.440845624082373</c:v>
                </c:pt>
                <c:pt idx="167">
                  <c:v>13.603429686785955</c:v>
                </c:pt>
                <c:pt idx="168">
                  <c:v>13.766895048970337</c:v>
                </c:pt>
                <c:pt idx="169">
                  <c:v>13.931239340315095</c:v>
                </c:pt>
                <c:pt idx="170">
                  <c:v>14.096460180215599</c:v>
                </c:pt>
                <c:pt idx="171">
                  <c:v>14.262555177894972</c:v>
                </c:pt>
                <c:pt idx="172">
                  <c:v>14.429521932515325</c:v>
                </c:pt>
                <c:pt idx="173">
                  <c:v>14.597358033288289</c:v>
                </c:pt>
                <c:pt idx="174">
                  <c:v>14.766061059584848</c:v>
                </c:pt>
                <c:pt idx="175">
                  <c:v>14.935628581044485</c:v>
                </c:pt>
                <c:pt idx="176">
                  <c:v>15.106058157683655</c:v>
                </c:pt>
                <c:pt idx="177">
                  <c:v>15.277347340003592</c:v>
                </c:pt>
                <c:pt idx="178">
                  <c:v>15.449493669097459</c:v>
                </c:pt>
                <c:pt idx="179">
                  <c:v>15.622494676756849</c:v>
                </c:pt>
                <c:pt idx="180">
                  <c:v>15.796347885577649</c:v>
                </c:pt>
                <c:pt idx="181">
                  <c:v>15.971050809065275</c:v>
                </c:pt>
                <c:pt idx="182">
                  <c:v>16.146600951739281</c:v>
                </c:pt>
                <c:pt idx="183">
                  <c:v>16.322995809237355</c:v>
                </c:pt>
                <c:pt idx="184">
                  <c:v>16.500232868418717</c:v>
                </c:pt>
                <c:pt idx="185">
                  <c:v>16.678309607466893</c:v>
                </c:pt>
                <c:pt idx="186">
                  <c:v>16.857223495991928</c:v>
                </c:pt>
                <c:pt idx="187">
                  <c:v>17.036971995131982</c:v>
                </c:pt>
                <c:pt idx="188">
                  <c:v>17.217552557654368</c:v>
                </c:pt>
                <c:pt idx="189">
                  <c:v>17.398962628056001</c:v>
                </c:pt>
                <c:pt idx="190">
                  <c:v>17.581199642663282</c:v>
                </c:pt>
                <c:pt idx="191">
                  <c:v>17.764261029731426</c:v>
                </c:pt>
                <c:pt idx="192">
                  <c:v>17.948144209543223</c:v>
                </c:pt>
                <c:pt idx="193">
                  <c:v>18.132846594507253</c:v>
                </c:pt>
                <c:pt idx="194">
                  <c:v>18.318365589255542</c:v>
                </c:pt>
                <c:pt idx="195">
                  <c:v>18.504698590740688</c:v>
                </c:pt>
                <c:pt idx="196">
                  <c:v>18.691842988332439</c:v>
                </c:pt>
                <c:pt idx="197">
                  <c:v>18.879796163913745</c:v>
                </c:pt>
                <c:pt idx="198">
                  <c:v>19.068555491976266</c:v>
                </c:pt>
                <c:pt idx="199">
                  <c:v>19.258118339715367</c:v>
                </c:pt>
                <c:pt idx="200">
                  <c:v>19.448482067124576</c:v>
                </c:pt>
                <c:pt idx="201">
                  <c:v>19.639644027089545</c:v>
                </c:pt>
                <c:pt idx="202">
                  <c:v>19.831601565481463</c:v>
                </c:pt>
                <c:pt idx="203">
                  <c:v>20.024352021249996</c:v>
                </c:pt>
                <c:pt idx="204">
                  <c:v>20.217892726515668</c:v>
                </c:pt>
                <c:pt idx="205">
                  <c:v>20.412221006661792</c:v>
                </c:pt>
                <c:pt idx="206">
                  <c:v>20.607334180425845</c:v>
                </c:pt>
                <c:pt idx="207">
                  <c:v>20.803229559990381</c:v>
                </c:pt>
                <c:pt idx="208">
                  <c:v>20.999904451073423</c:v>
                </c:pt>
                <c:pt idx="209">
                  <c:v>21.197356153018365</c:v>
                </c:pt>
                <c:pt idx="210">
                  <c:v>21.395581958883387</c:v>
                </c:pt>
                <c:pt idx="211">
                  <c:v>21.594579155530369</c:v>
                </c:pt>
                <c:pt idx="212">
                  <c:v>21.794345023713323</c:v>
                </c:pt>
                <c:pt idx="213">
                  <c:v>21.994876838166338</c:v>
                </c:pt>
                <c:pt idx="214">
                  <c:v>22.196171867691028</c:v>
                </c:pt>
                <c:pt idx="215">
                  <c:v>22.398227375243518</c:v>
                </c:pt>
                <c:pt idx="216">
                  <c:v>22.601040618020932</c:v>
                </c:pt>
                <c:pt idx="217">
                  <c:v>22.804608847547399</c:v>
                </c:pt>
                <c:pt idx="218">
                  <c:v>23.008929309759608</c:v>
                </c:pt>
                <c:pt idx="219">
                  <c:v>23.213999245091848</c:v>
                </c:pt>
                <c:pt idx="220">
                  <c:v>23.419815888560599</c:v>
                </c:pt>
                <c:pt idx="221">
                  <c:v>23.62637646984864</c:v>
                </c:pt>
                <c:pt idx="222">
                  <c:v>23.833678213388698</c:v>
                </c:pt>
                <c:pt idx="223">
                  <c:v>24.0417183384466</c:v>
                </c:pt>
                <c:pt idx="224">
                  <c:v>24.25049405920398</c:v>
                </c:pt>
                <c:pt idx="225">
                  <c:v>24.460002584840506</c:v>
                </c:pt>
                <c:pt idx="226">
                  <c:v>24.670241119615643</c:v>
                </c:pt>
                <c:pt idx="227">
                  <c:v>24.881206862949941</c:v>
                </c:pt>
                <c:pt idx="228">
                  <c:v>25.092897009505876</c:v>
                </c:pt>
                <c:pt idx="229">
                  <c:v>25.305308749268203</c:v>
                </c:pt>
                <c:pt idx="230">
                  <c:v>25.518439267623869</c:v>
                </c:pt>
                <c:pt idx="231">
                  <c:v>25.732285745441445</c:v>
                </c:pt>
                <c:pt idx="232">
                  <c:v>25.9468453591501</c:v>
                </c:pt>
                <c:pt idx="233">
                  <c:v>26.162115280818128</c:v>
                </c:pt>
                <c:pt idx="234">
                  <c:v>26.378092678230992</c:v>
                </c:pt>
                <c:pt idx="235">
                  <c:v>26.594774714968924</c:v>
                </c:pt>
                <c:pt idx="236">
                  <c:v>26.812158550484064</c:v>
                </c:pt>
                <c:pt idx="237">
                  <c:v>27.030241340177135</c:v>
                </c:pt>
                <c:pt idx="238">
                  <c:v>27.249020235473662</c:v>
                </c:pt>
                <c:pt idx="239">
                  <c:v>27.468492383899743</c:v>
                </c:pt>
                <c:pt idx="240">
                  <c:v>27.688654929157352</c:v>
                </c:pt>
                <c:pt idx="241">
                  <c:v>27.909505011199183</c:v>
                </c:pt>
                <c:pt idx="242">
                  <c:v>28.131039766303054</c:v>
                </c:pt>
                <c:pt idx="243">
                  <c:v>28.353256327145846</c:v>
                </c:pt>
                <c:pt idx="244">
                  <c:v>28.576151822876984</c:v>
                </c:pt>
                <c:pt idx="245">
                  <c:v>28.799723379191473</c:v>
                </c:pt>
                <c:pt idx="246">
                  <c:v>29.023968118402475</c:v>
                </c:pt>
                <c:pt idx="247">
                  <c:v>29.248883159513433</c:v>
                </c:pt>
                <c:pt idx="248">
                  <c:v>29.474465618289745</c:v>
                </c:pt>
                <c:pt idx="249">
                  <c:v>29.700712607329979</c:v>
                </c:pt>
                <c:pt idx="250">
                  <c:v>29.927621236136645</c:v>
                </c:pt>
                <c:pt idx="251">
                  <c:v>30.155188364032824</c:v>
                </c:pt>
                <c:pt idx="252">
                  <c:v>30.383410352825244</c:v>
                </c:pt>
                <c:pt idx="253">
                  <c:v>30.612283313956898</c:v>
                </c:pt>
                <c:pt idx="254">
                  <c:v>30.841803355925073</c:v>
                </c:pt>
                <c:pt idx="255">
                  <c:v>31.071966584375222</c:v>
                </c:pt>
                <c:pt idx="256">
                  <c:v>31.302769102194098</c:v>
                </c:pt>
                <c:pt idx="257">
                  <c:v>31.534207009602177</c:v>
                </c:pt>
                <c:pt idx="258">
                  <c:v>31.766276404245318</c:v>
                </c:pt>
                <c:pt idx="259">
                  <c:v>31.998973381285726</c:v>
                </c:pt>
                <c:pt idx="260">
                  <c:v>32.23229403349216</c:v>
                </c:pt>
                <c:pt idx="261">
                  <c:v>32.46623445132942</c:v>
                </c:pt>
                <c:pt idx="262">
                  <c:v>32.70079072304712</c:v>
                </c:pt>
                <c:pt idx="263">
                  <c:v>32.935958934767719</c:v>
                </c:pt>
                <c:pt idx="264">
                  <c:v>33.171735170573832</c:v>
                </c:pt>
                <c:pt idx="265">
                  <c:v>33.408115512594804</c:v>
                </c:pt>
                <c:pt idx="266">
                  <c:v>33.645096041092593</c:v>
                </c:pt>
                <c:pt idx="267">
                  <c:v>33.882672834546888</c:v>
                </c:pt>
                <c:pt idx="268">
                  <c:v>34.12084196973953</c:v>
                </c:pt>
                <c:pt idx="269">
                  <c:v>34.359599521838213</c:v>
                </c:pt>
                <c:pt idx="270">
                  <c:v>34.598941564479446</c:v>
                </c:pt>
                <c:pt idx="271">
                  <c:v>34.838864169850822</c:v>
                </c:pt>
                <c:pt idx="272">
                  <c:v>35.079363408772544</c:v>
                </c:pt>
                <c:pt idx="273">
                  <c:v>35.32043535077824</c:v>
                </c:pt>
                <c:pt idx="274">
                  <c:v>35.562076064195082</c:v>
                </c:pt>
                <c:pt idx="275">
                  <c:v>35.804281616223165</c:v>
                </c:pt>
                <c:pt idx="276">
                  <c:v>36.047048073014167</c:v>
                </c:pt>
                <c:pt idx="277">
                  <c:v>36.290371499749334</c:v>
                </c:pt>
                <c:pt idx="278">
                  <c:v>36.534247960716698</c:v>
                </c:pt>
                <c:pt idx="279">
                  <c:v>36.778673519387638</c:v>
                </c:pt>
                <c:pt idx="280">
                  <c:v>37.023644238492707</c:v>
                </c:pt>
                <c:pt idx="281">
                  <c:v>37.269156180096722</c:v>
                </c:pt>
                <c:pt idx="282">
                  <c:v>37.515205405673207</c:v>
                </c:pt>
                <c:pt idx="283">
                  <c:v>37.761787976178077</c:v>
                </c:pt>
                <c:pt idx="284">
                  <c:v>38.00889995212264</c:v>
                </c:pt>
                <c:pt idx="285">
                  <c:v>38.256537393645907</c:v>
                </c:pt>
                <c:pt idx="286">
                  <c:v>38.504696360586166</c:v>
                </c:pt>
                <c:pt idx="287">
                  <c:v>38.753372912551882</c:v>
                </c:pt>
                <c:pt idx="288">
                  <c:v>39.002563108991886</c:v>
                </c:pt>
                <c:pt idx="289">
                  <c:v>39.252263009264873</c:v>
                </c:pt>
                <c:pt idx="290">
                  <c:v>39.502468672708183</c:v>
                </c:pt>
                <c:pt idx="291">
                  <c:v>39.753176158705919</c:v>
                </c:pt>
                <c:pt idx="292">
                  <c:v>40.00438152675634</c:v>
                </c:pt>
                <c:pt idx="293">
                  <c:v>40.256080836538587</c:v>
                </c:pt>
                <c:pt idx="294">
                  <c:v>40.508270147978685</c:v>
                </c:pt>
                <c:pt idx="295">
                  <c:v>40.760945521314881</c:v>
                </c:pt>
                <c:pt idx="296">
                  <c:v>41.014103017162299</c:v>
                </c:pt>
                <c:pt idx="297">
                  <c:v>41.267738696576878</c:v>
                </c:pt>
                <c:pt idx="298">
                  <c:v>41.521845842688315</c:v>
                </c:pt>
                <c:pt idx="299">
                  <c:v>41.776412181246947</c:v>
                </c:pt>
                <c:pt idx="300">
                  <c:v>42.031422661236533</c:v>
                </c:pt>
                <c:pt idx="301">
                  <c:v>42.286862236763341</c:v>
                </c:pt>
                <c:pt idx="302">
                  <c:v>42.542715867496241</c:v>
                </c:pt>
                <c:pt idx="303">
                  <c:v>42.798968519098715</c:v>
                </c:pt>
                <c:pt idx="304">
                  <c:v>43.0556051636528</c:v>
                </c:pt>
                <c:pt idx="305">
                  <c:v>43.312610780074962</c:v>
                </c:pt>
                <c:pt idx="306">
                  <c:v>43.569970354523981</c:v>
                </c:pt>
                <c:pt idx="307">
                  <c:v>43.827668880800765</c:v>
                </c:pt>
                <c:pt idx="308">
                  <c:v>44.085691360740192</c:v>
                </c:pt>
                <c:pt idx="309">
                  <c:v>44.34402280459495</c:v>
                </c:pt>
                <c:pt idx="310">
                  <c:v>44.602648231411422</c:v>
                </c:pt>
                <c:pt idx="311">
                  <c:v>44.861552669397618</c:v>
                </c:pt>
                <c:pt idx="312">
                  <c:v>45.120721156283174</c:v>
                </c:pt>
                <c:pt idx="313">
                  <c:v>45.380138739671438</c:v>
                </c:pt>
                <c:pt idx="314">
                  <c:v>45.639790477383663</c:v>
                </c:pt>
                <c:pt idx="315">
                  <c:v>45.899661437795359</c:v>
                </c:pt>
                <c:pt idx="316">
                  <c:v>46.159736700164764</c:v>
                </c:pt>
                <c:pt idx="317">
                  <c:v>46.420001354953513</c:v>
                </c:pt>
                <c:pt idx="318">
                  <c:v>46.680440504139504</c:v>
                </c:pt>
                <c:pt idx="319">
                  <c:v>46.941039261521979</c:v>
                </c:pt>
                <c:pt idx="320">
                  <c:v>47.201782753018854</c:v>
                </c:pt>
                <c:pt idx="321">
                  <c:v>47.462657233680353</c:v>
                </c:pt>
                <c:pt idx="322">
                  <c:v>47.723651204362888</c:v>
                </c:pt>
                <c:pt idx="323">
                  <c:v>47.984754293261155</c:v>
                </c:pt>
                <c:pt idx="324">
                  <c:v>48.245956137694726</c:v>
                </c:pt>
                <c:pt idx="325">
                  <c:v>48.507246384229305</c:v>
                </c:pt>
                <c:pt idx="326">
                  <c:v>48.768614688794244</c:v>
                </c:pt>
                <c:pt idx="327">
                  <c:v>49.030050716796403</c:v>
                </c:pt>
                <c:pt idx="328">
                  <c:v>49.291544143230304</c:v>
                </c:pt>
                <c:pt idx="329">
                  <c:v>49.553084652784669</c:v>
                </c:pt>
                <c:pt idx="330">
                  <c:v>49.814661939945267</c:v>
                </c:pt>
                <c:pt idx="331">
                  <c:v>50.07626570909418</c:v>
                </c:pt>
                <c:pt idx="332">
                  <c:v>50.337885674605424</c:v>
                </c:pt>
                <c:pt idx="333">
                  <c:v>50.59951156093701</c:v>
                </c:pt>
                <c:pt idx="334">
                  <c:v>50.861133102719414</c:v>
                </c:pt>
                <c:pt idx="335">
                  <c:v>51.122740044840484</c:v>
                </c:pt>
                <c:pt idx="336">
                  <c:v>51.384322142526827</c:v>
                </c:pt>
                <c:pt idx="337">
                  <c:v>51.645869161421643</c:v>
                </c:pt>
                <c:pt idx="338">
                  <c:v>51.907370877659083</c:v>
                </c:pt>
                <c:pt idx="339">
                  <c:v>52.168817077935081</c:v>
                </c:pt>
                <c:pt idx="340">
                  <c:v>52.430197559574736</c:v>
                </c:pt>
                <c:pt idx="341">
                  <c:v>52.691502130596234</c:v>
                </c:pt>
                <c:pt idx="342">
                  <c:v>52.952720609771312</c:v>
                </c:pt>
                <c:pt idx="343">
                  <c:v>53.213842826682324</c:v>
                </c:pt>
                <c:pt idx="344">
                  <c:v>53.47485862177588</c:v>
                </c:pt>
                <c:pt idx="345">
                  <c:v>53.735757846413101</c:v>
                </c:pt>
                <c:pt idx="346">
                  <c:v>53.996530362916481</c:v>
                </c:pt>
                <c:pt idx="347">
                  <c:v>54.257166044613427</c:v>
                </c:pt>
                <c:pt idx="348">
                  <c:v>54.517654897726032</c:v>
                </c:pt>
                <c:pt idx="349">
                  <c:v>54.777987183166722</c:v>
                </c:pt>
                <c:pt idx="350">
                  <c:v>55.038153294424831</c:v>
                </c:pt>
                <c:pt idx="351">
                  <c:v>55.298143635537009</c:v>
                </c:pt>
                <c:pt idx="352">
                  <c:v>55.557948621107052</c:v>
                </c:pt>
                <c:pt idx="353">
                  <c:v>55.817558676322726</c:v>
                </c:pt>
                <c:pt idx="354">
                  <c:v>56.076964236969715</c:v>
                </c:pt>
                <c:pt idx="355">
                  <c:v>56.336155749442639</c:v>
                </c:pt>
                <c:pt idx="356">
                  <c:v>56.595123670753182</c:v>
                </c:pt>
                <c:pt idx="357">
                  <c:v>56.853858468535314</c:v>
                </c:pt>
                <c:pt idx="358">
                  <c:v>57.112350621047675</c:v>
                </c:pt>
                <c:pt idx="359">
                  <c:v>57.370590617173079</c:v>
                </c:pt>
                <c:pt idx="360">
                  <c:v>57.628571503449471</c:v>
                </c:pt>
                <c:pt idx="361">
                  <c:v>57.886291428847137</c:v>
                </c:pt>
                <c:pt idx="362">
                  <c:v>58.143751091088077</c:v>
                </c:pt>
                <c:pt idx="363">
                  <c:v>58.400951185227022</c:v>
                </c:pt>
                <c:pt idx="364">
                  <c:v>58.657892403665329</c:v>
                </c:pt>
                <c:pt idx="365">
                  <c:v>58.914575436164775</c:v>
                </c:pt>
                <c:pt idx="366">
                  <c:v>59.171000969861254</c:v>
                </c:pt>
                <c:pt idx="367">
                  <c:v>59.427169689278422</c:v>
                </c:pt>
                <c:pt idx="368">
                  <c:v>59.68308227634121</c:v>
                </c:pt>
                <c:pt idx="369">
                  <c:v>59.93873941038926</c:v>
                </c:pt>
                <c:pt idx="370">
                  <c:v>60.194141768190292</c:v>
                </c:pt>
                <c:pt idx="371">
                  <c:v>60.449290023953374</c:v>
                </c:pt>
                <c:pt idx="372">
                  <c:v>60.704184849342091</c:v>
                </c:pt>
                <c:pt idx="373">
                  <c:v>60.958826913487655</c:v>
                </c:pt>
                <c:pt idx="374">
                  <c:v>61.213216883001913</c:v>
                </c:pt>
                <c:pt idx="375">
                  <c:v>61.467355421990284</c:v>
                </c:pt>
                <c:pt idx="376">
                  <c:v>61.721243192064591</c:v>
                </c:pt>
                <c:pt idx="377">
                  <c:v>61.974880852355831</c:v>
                </c:pt>
                <c:pt idx="378">
                  <c:v>62.228269059526866</c:v>
                </c:pt>
                <c:pt idx="379">
                  <c:v>62.481408467785009</c:v>
                </c:pt>
                <c:pt idx="380">
                  <c:v>62.734299728894541</c:v>
                </c:pt>
                <c:pt idx="381">
                  <c:v>62.986943492189177</c:v>
                </c:pt>
                <c:pt idx="382">
                  <c:v>63.239340404584389</c:v>
                </c:pt>
                <c:pt idx="383">
                  <c:v>63.49149111058972</c:v>
                </c:pt>
                <c:pt idx="384">
                  <c:v>63.743396252320963</c:v>
                </c:pt>
                <c:pt idx="385">
                  <c:v>63.995056469512306</c:v>
                </c:pt>
                <c:pt idx="386">
                  <c:v>64.246472399528358</c:v>
                </c:pt>
                <c:pt idx="387">
                  <c:v>64.497644677376158</c:v>
                </c:pt>
                <c:pt idx="388">
                  <c:v>64.748573935717019</c:v>
                </c:pt>
                <c:pt idx="389">
                  <c:v>64.999260804878389</c:v>
                </c:pt>
                <c:pt idx="390">
                  <c:v>65.249705912865593</c:v>
                </c:pt>
                <c:pt idx="391">
                  <c:v>65.499909885373498</c:v>
                </c:pt>
                <c:pt idx="392">
                  <c:v>65.749873345798107</c:v>
                </c:pt>
                <c:pt idx="393">
                  <c:v>65.999596915248077</c:v>
                </c:pt>
                <c:pt idx="394">
                  <c:v>66.249081212556206</c:v>
                </c:pt>
                <c:pt idx="395">
                  <c:v>66.498326854290781</c:v>
                </c:pt>
                <c:pt idx="396">
                  <c:v>66.7473344547669</c:v>
                </c:pt>
                <c:pt idx="397">
                  <c:v>66.996104626057715</c:v>
                </c:pt>
                <c:pt idx="398">
                  <c:v>67.244637978005585</c:v>
                </c:pt>
                <c:pt idx="399">
                  <c:v>67.492935118233206</c:v>
                </c:pt>
                <c:pt idx="400">
                  <c:v>67.740996652154607</c:v>
                </c:pt>
                <c:pt idx="401">
                  <c:v>70.208700369130867</c:v>
                </c:pt>
                <c:pt idx="402">
                  <c:v>72.653231746853606</c:v>
                </c:pt>
                <c:pt idx="403">
                  <c:v>75.075175904641185</c:v>
                </c:pt>
                <c:pt idx="404">
                  <c:v>77.475097257035614</c:v>
                </c:pt>
                <c:pt idx="405">
                  <c:v>79.853540506137236</c:v>
                </c:pt>
                <c:pt idx="406">
                  <c:v>82.211031574892814</c:v>
                </c:pt>
                <c:pt idx="407">
                  <c:v>84.548078485530667</c:v>
                </c:pt>
                <c:pt idx="408">
                  <c:v>86.86517218699143</c:v>
                </c:pt>
                <c:pt idx="409">
                  <c:v>89.162787334890496</c:v>
                </c:pt>
                <c:pt idx="410">
                  <c:v>91.441383027264138</c:v>
                </c:pt>
                <c:pt idx="411">
                  <c:v>93.701403499093288</c:v>
                </c:pt>
                <c:pt idx="412">
                  <c:v>95.943278778364188</c:v>
                </c:pt>
                <c:pt idx="413">
                  <c:v>98.167425306210944</c:v>
                </c:pt>
                <c:pt idx="414">
                  <c:v>100.37424652349013</c:v>
                </c:pt>
                <c:pt idx="415">
                  <c:v>102.56413342595928</c:v>
                </c:pt>
                <c:pt idx="416">
                  <c:v>104.73746509006816</c:v>
                </c:pt>
                <c:pt idx="417">
                  <c:v>106.8946091712229</c:v>
                </c:pt>
                <c:pt idx="418">
                  <c:v>109.0359223762466</c:v>
                </c:pt>
                <c:pt idx="419">
                  <c:v>111.16175091163467</c:v>
                </c:pt>
                <c:pt idx="420">
                  <c:v>113.2724309090886</c:v>
                </c:pt>
                <c:pt idx="421">
                  <c:v>115.3682888297065</c:v>
                </c:pt>
                <c:pt idx="422">
                  <c:v>117.44964184811145</c:v>
                </c:pt>
                <c:pt idx="423">
                  <c:v>119.51679821770988</c:v>
                </c:pt>
                <c:pt idx="424">
                  <c:v>121.57005761818975</c:v>
                </c:pt>
                <c:pt idx="425">
                  <c:v>123.60971148629295</c:v>
                </c:pt>
                <c:pt idx="426">
                  <c:v>125.63604333082594</c:v>
                </c:pt>
                <c:pt idx="427">
                  <c:v>127.64932903280877</c:v>
                </c:pt>
                <c:pt idx="428">
                  <c:v>129.64983713160245</c:v>
                </c:pt>
                <c:pt idx="429">
                  <c:v>131.63782909780011</c:v>
                </c:pt>
                <c:pt idx="430">
                  <c:v>133.61355959361552</c:v>
                </c:pt>
                <c:pt idx="431">
                  <c:v>135.57727672145646</c:v>
                </c:pt>
                <c:pt idx="432">
                  <c:v>137.52922226132551</c:v>
                </c:pt>
                <c:pt idx="433">
                  <c:v>139.46963189765094</c:v>
                </c:pt>
                <c:pt idx="434">
                  <c:v>141.39873543611222</c:v>
                </c:pt>
                <c:pt idx="435">
                  <c:v>143.3167570109901</c:v>
                </c:pt>
                <c:pt idx="436">
                  <c:v>145.22391528353819</c:v>
                </c:pt>
                <c:pt idx="437">
                  <c:v>147.12042363184284</c:v>
                </c:pt>
                <c:pt idx="438">
                  <c:v>149.00649033261024</c:v>
                </c:pt>
                <c:pt idx="439">
                  <c:v>150.8823187352927</c:v>
                </c:pt>
                <c:pt idx="440">
                  <c:v>152.7481074289424</c:v>
                </c:pt>
                <c:pt idx="441">
                  <c:v>154.6040504021575</c:v>
                </c:pt>
                <c:pt idx="442">
                  <c:v>156.45033719646435</c:v>
                </c:pt>
                <c:pt idx="443">
                  <c:v>158.28715305345975</c:v>
                </c:pt>
                <c:pt idx="444">
                  <c:v>160.11467905601856</c:v>
                </c:pt>
                <c:pt idx="445">
                  <c:v>161.93309226385446</c:v>
                </c:pt>
                <c:pt idx="446">
                  <c:v>163.74256584370571</c:v>
                </c:pt>
                <c:pt idx="447">
                  <c:v>165.54326919440194</c:v>
                </c:pt>
                <c:pt idx="448">
                  <c:v>167.33536806705479</c:v>
                </c:pt>
                <c:pt idx="449">
                  <c:v>169.11902468060049</c:v>
                </c:pt>
                <c:pt idx="450">
                  <c:v>170.89439783291127</c:v>
                </c:pt>
                <c:pt idx="451">
                  <c:v>172.66164300767966</c:v>
                </c:pt>
                <c:pt idx="452">
                  <c:v>174.42091247726967</c:v>
                </c:pt>
                <c:pt idx="453">
                  <c:v>176.17235540171757</c:v>
                </c:pt>
                <c:pt idx="454">
                  <c:v>177.91611792405595</c:v>
                </c:pt>
                <c:pt idx="455">
                  <c:v>179.6523432621251</c:v>
                </c:pt>
                <c:pt idx="456">
                  <c:v>181.38117179702763</c:v>
                </c:pt>
                <c:pt idx="457">
                  <c:v>183.10274115837359</c:v>
                </c:pt>
                <c:pt idx="458">
                  <c:v>184.81718630645608</c:v>
                </c:pt>
                <c:pt idx="459">
                  <c:v>186.52463961149013</c:v>
                </c:pt>
                <c:pt idx="460">
                  <c:v>188.22523093004057</c:v>
                </c:pt>
                <c:pt idx="461">
                  <c:v>189.9190876787585</c:v>
                </c:pt>
                <c:pt idx="462">
                  <c:v>191.60633490553991</c:v>
                </c:pt>
                <c:pt idx="463">
                  <c:v>193.28709535821389</c:v>
                </c:pt>
                <c:pt idx="464">
                  <c:v>194.96148955086301</c:v>
                </c:pt>
                <c:pt idx="465">
                  <c:v>196.62963582787302</c:v>
                </c:pt>
                <c:pt idx="466">
                  <c:v>198.29165042580431</c:v>
                </c:pt>
                <c:pt idx="467">
                  <c:v>199.9476475331727</c:v>
                </c:pt>
                <c:pt idx="468">
                  <c:v>201.5977393482234</c:v>
                </c:pt>
                <c:pt idx="469">
                  <c:v>203.24203613477701</c:v>
                </c:pt>
                <c:pt idx="470">
                  <c:v>204.8806462762235</c:v>
                </c:pt>
                <c:pt idx="471">
                  <c:v>206.51367632773531</c:v>
                </c:pt>
                <c:pt idx="472">
                  <c:v>208.1412310667682</c:v>
                </c:pt>
                <c:pt idx="473">
                  <c:v>209.76341354191436</c:v>
                </c:pt>
                <c:pt idx="474">
                  <c:v>211.38032512016932</c:v>
                </c:pt>
                <c:pt idx="475">
                  <c:v>212.99206553267126</c:v>
                </c:pt>
                <c:pt idx="476">
                  <c:v>214.5987329189683</c:v>
                </c:pt>
                <c:pt idx="477">
                  <c:v>216.20042386986623</c:v>
                </c:pt>
                <c:pt idx="478">
                  <c:v>217.797233468907</c:v>
                </c:pt>
                <c:pt idx="479">
                  <c:v>219.3892553325251</c:v>
                </c:pt>
                <c:pt idx="480">
                  <c:v>220.97658164892709</c:v>
                </c:pt>
                <c:pt idx="481">
                  <c:v>222.55930321573629</c:v>
                </c:pt>
                <c:pt idx="482">
                  <c:v>224.13750947644317</c:v>
                </c:pt>
                <c:pt idx="483">
                  <c:v>225.7112885556991</c:v>
                </c:pt>
                <c:pt idx="484">
                  <c:v>227.28072729348904</c:v>
                </c:pt>
                <c:pt idx="485">
                  <c:v>228.84591127821687</c:v>
                </c:pt>
                <c:pt idx="486">
                  <c:v>230.40692487873437</c:v>
                </c:pt>
                <c:pt idx="487">
                  <c:v>231.96385127534316</c:v>
                </c:pt>
                <c:pt idx="488">
                  <c:v>233.51677248979684</c:v>
                </c:pt>
                <c:pt idx="489">
                  <c:v>235.06576941432826</c:v>
                </c:pt>
                <c:pt idx="490">
                  <c:v>236.61092183972482</c:v>
                </c:pt>
                <c:pt idx="491">
                  <c:v>238.15230848247288</c:v>
                </c:pt>
                <c:pt idx="492">
                  <c:v>239.69000701098955</c:v>
                </c:pt>
                <c:pt idx="493">
                  <c:v>241.2240940709591</c:v>
                </c:pt>
                <c:pt idx="494">
                  <c:v>242.75464530978769</c:v>
                </c:pt>
                <c:pt idx="495">
                  <c:v>244.28173540018884</c:v>
                </c:pt>
                <c:pt idx="496">
                  <c:v>245.80543806290916</c:v>
                </c:pt>
                <c:pt idx="497">
                  <c:v>247.32582608860159</c:v>
                </c:pt>
                <c:pt idx="498">
                  <c:v>248.84297135885055</c:v>
                </c:pt>
                <c:pt idx="499">
                  <c:v>250.35694486635086</c:v>
                </c:pt>
                <c:pt idx="500">
                  <c:v>251.86781673423914</c:v>
                </c:pt>
                <c:pt idx="501">
                  <c:v>253.37565623457314</c:v>
                </c:pt>
                <c:pt idx="502">
                  <c:v>254.88053180595125</c:v>
                </c:pt>
                <c:pt idx="503">
                  <c:v>256.38251107026042</c:v>
                </c:pt>
                <c:pt idx="504">
                  <c:v>257.88166084853668</c:v>
                </c:pt>
                <c:pt idx="505">
                  <c:v>259.37804717591814</c:v>
                </c:pt>
                <c:pt idx="506">
                  <c:v>260.87173531566492</c:v>
                </c:pt>
                <c:pt idx="507">
                  <c:v>262.36278977221531</c:v>
                </c:pt>
                <c:pt idx="508">
                  <c:v>263.85127430324144</c:v>
                </c:pt>
                <c:pt idx="509">
                  <c:v>265.33725193066039</c:v>
                </c:pt>
                <c:pt idx="510">
                  <c:v>266.82078495054941</c:v>
                </c:pt>
                <c:pt idx="511">
                  <c:v>268.30193494190496</c:v>
                </c:pt>
                <c:pt idx="512">
                  <c:v>269.78076277417603</c:v>
                </c:pt>
                <c:pt idx="513">
                  <c:v>271.25732861349081</c:v>
                </c:pt>
                <c:pt idx="514">
                  <c:v>272.73169192748304</c:v>
                </c:pt>
                <c:pt idx="515">
                  <c:v>274.20391148861125</c:v>
                </c:pt>
                <c:pt idx="516">
                  <c:v>275.67404537584679</c:v>
                </c:pt>
                <c:pt idx="517">
                  <c:v>277.14215097458924</c:v>
                </c:pt>
                <c:pt idx="518">
                  <c:v>278.60828497464638</c:v>
                </c:pt>
                <c:pt idx="519">
                  <c:v>280.07250336609235</c:v>
                </c:pt>
                <c:pt idx="520">
                  <c:v>281.53486143279071</c:v>
                </c:pt>
                <c:pt idx="521">
                  <c:v>282.99541374333774</c:v>
                </c:pt>
                <c:pt idx="522">
                  <c:v>284.45421413914715</c:v>
                </c:pt>
                <c:pt idx="523">
                  <c:v>285.91131571935631</c:v>
                </c:pt>
                <c:pt idx="524">
                  <c:v>287.36677082219012</c:v>
                </c:pt>
                <c:pt idx="525">
                  <c:v>288.82063100236729</c:v>
                </c:pt>
                <c:pt idx="526">
                  <c:v>290.27294700407691</c:v>
                </c:pt>
                <c:pt idx="527">
                  <c:v>291.72376872899031</c:v>
                </c:pt>
                <c:pt idx="528">
                  <c:v>293.17314519870348</c:v>
                </c:pt>
                <c:pt idx="529">
                  <c:v>294.62112451093157</c:v>
                </c:pt>
                <c:pt idx="530">
                  <c:v>296.0677537886973</c:v>
                </c:pt>
                <c:pt idx="531">
                  <c:v>297.51307912167664</c:v>
                </c:pt>
                <c:pt idx="532">
                  <c:v>298.95714549878664</c:v>
                </c:pt>
                <c:pt idx="533">
                  <c:v>300.39999673103569</c:v>
                </c:pt>
                <c:pt idx="534">
                  <c:v>301.84167536360781</c:v>
                </c:pt>
                <c:pt idx="535">
                  <c:v>303.28222257614146</c:v>
                </c:pt>
                <c:pt idx="536">
                  <c:v>304.72167807020423</c:v>
                </c:pt>
                <c:pt idx="537">
                  <c:v>306.16007994308745</c:v>
                </c:pt>
                <c:pt idx="538">
                  <c:v>307.59746454727804</c:v>
                </c:pt>
                <c:pt idx="539">
                  <c:v>309.03386633535251</c:v>
                </c:pt>
                <c:pt idx="540">
                  <c:v>310.46931769061524</c:v>
                </c:pt>
                <c:pt idx="541">
                  <c:v>311.90384874461307</c:v>
                </c:pt>
                <c:pt idx="542">
                  <c:v>313.33748718372203</c:v>
                </c:pt>
                <c:pt idx="543">
                  <c:v>314.77025804831072</c:v>
                </c:pt>
                <c:pt idx="544">
                  <c:v>316.20218352948422</c:v>
                </c:pt>
                <c:pt idx="545">
                  <c:v>317.63328276997242</c:v>
                </c:pt>
                <c:pt idx="546">
                  <c:v>319.06357167714185</c:v>
                </c:pt>
                <c:pt idx="547">
                  <c:v>320.49306275710939</c:v>
                </c:pt>
                <c:pt idx="548">
                  <c:v>321.92176497922156</c:v>
                </c:pt>
                <c:pt idx="549">
                  <c:v>323.34968367948881</c:v>
                </c:pt>
                <c:pt idx="550">
                  <c:v>324.77682050982679</c:v>
                </c:pt>
                <c:pt idx="551">
                  <c:v>326.20317343725924</c:v>
                </c:pt>
                <c:pt idx="552">
                  <c:v>327.62873679391549</c:v>
                </c:pt>
                <c:pt idx="553">
                  <c:v>329.05350137519792</c:v>
                </c:pt>
                <c:pt idx="554">
                  <c:v>330.47745458043784</c:v>
                </c:pt>
                <c:pt idx="555">
                  <c:v>331.90058058812014</c:v>
                </c:pt>
                <c:pt idx="556">
                  <c:v>333.32286055656721</c:v>
                </c:pt>
                <c:pt idx="557">
                  <c:v>334.7442728408173</c:v>
                </c:pt>
                <c:pt idx="558">
                  <c:v>336.1647932171299</c:v>
                </c:pt>
                <c:pt idx="559">
                  <c:v>337.58439510781301</c:v>
                </c:pt>
                <c:pt idx="560">
                  <c:v>339.00304980060162</c:v>
                </c:pt>
                <c:pt idx="561">
                  <c:v>340.42072665838037</c:v>
                </c:pt>
                <c:pt idx="562">
                  <c:v>341.83739331646683</c:v>
                </c:pt>
                <c:pt idx="563">
                  <c:v>343.25301586586761</c:v>
                </c:pt>
                <c:pt idx="564">
                  <c:v>344.66755902185605</c:v>
                </c:pt>
                <c:pt idx="565">
                  <c:v>346.08098627790844</c:v>
                </c:pt>
                <c:pt idx="566">
                  <c:v>347.49326004551148</c:v>
                </c:pt>
                <c:pt idx="567">
                  <c:v>348.90434178065385</c:v>
                </c:pt>
                <c:pt idx="568">
                  <c:v>350.31419209798537</c:v>
                </c:pt>
                <c:pt idx="569">
                  <c:v>351.7227708737006</c:v>
                </c:pt>
                <c:pt idx="570">
                  <c:v>353.13003733821137</c:v>
                </c:pt>
                <c:pt idx="571">
                  <c:v>354.53595015963867</c:v>
                </c:pt>
                <c:pt idx="572">
                  <c:v>355.94046751909138</c:v>
                </c:pt>
                <c:pt idx="573">
                  <c:v>357.34354717862533</c:v>
                </c:pt>
                <c:pt idx="574">
                  <c:v>358.74514654269461</c:v>
                </c:pt>
                <c:pt idx="575">
                  <c:v>360.1452227138256</c:v>
                </c:pt>
                <c:pt idx="576">
                  <c:v>361.54373254316607</c:v>
                </c:pt>
                <c:pt idx="577">
                  <c:v>362.94063267648869</c:v>
                </c:pt>
                <c:pt idx="578">
                  <c:v>364.33587959616153</c:v>
                </c:pt>
                <c:pt idx="579">
                  <c:v>365.72942965953689</c:v>
                </c:pt>
                <c:pt idx="580">
                  <c:v>367.1212391341565</c:v>
                </c:pt>
                <c:pt idx="581">
                  <c:v>368.51126423012232</c:v>
                </c:pt>
                <c:pt idx="582">
                  <c:v>369.89946112994028</c:v>
                </c:pt>
                <c:pt idx="583">
                  <c:v>371.28578601610621</c:v>
                </c:pt>
                <c:pt idx="584">
                  <c:v>372.67019509667159</c:v>
                </c:pt>
                <c:pt idx="585">
                  <c:v>374.05264462899657</c:v>
                </c:pt>
                <c:pt idx="586">
                  <c:v>375.43309094187396</c:v>
                </c:pt>
                <c:pt idx="587">
                  <c:v>376.81149045618525</c:v>
                </c:pt>
                <c:pt idx="588">
                  <c:v>378.18779970423043</c:v>
                </c:pt>
                <c:pt idx="589">
                  <c:v>379.56197534785758</c:v>
                </c:pt>
                <c:pt idx="590">
                  <c:v>380.93397419550229</c:v>
                </c:pt>
                <c:pt idx="591">
                  <c:v>382.30375321823499</c:v>
                </c:pt>
                <c:pt idx="592">
                  <c:v>383.67126956490324</c:v>
                </c:pt>
                <c:pt idx="593">
                  <c:v>385.0364805764454</c:v>
                </c:pt>
                <c:pt idx="594">
                  <c:v>386.39934379944424</c:v>
                </c:pt>
                <c:pt idx="595">
                  <c:v>387.75981699898102</c:v>
                </c:pt>
                <c:pt idx="596">
                  <c:v>389.11785817084456</c:v>
                </c:pt>
                <c:pt idx="597">
                  <c:v>390.47342555314287</c:v>
                </c:pt>
                <c:pt idx="598">
                  <c:v>391.82647763736105</c:v>
                </c:pt>
                <c:pt idx="599">
                  <c:v>393.17697317890361</c:v>
                </c:pt>
                <c:pt idx="600">
                  <c:v>394.52487120715602</c:v>
                </c:pt>
                <c:pt idx="601">
                  <c:v>395.87013103509639</c:v>
                </c:pt>
                <c:pt idx="602">
                  <c:v>397.21271226848484</c:v>
                </c:pt>
                <c:pt idx="603">
                  <c:v>398.55257481465611</c:v>
                </c:pt>
                <c:pt idx="604">
                  <c:v>399.88967889093772</c:v>
                </c:pt>
                <c:pt idx="605">
                  <c:v>401.22398503271381</c:v>
                </c:pt>
                <c:pt idx="606">
                  <c:v>402.55545410115383</c:v>
                </c:pt>
                <c:pt idx="607">
                  <c:v>403.88404729062171</c:v>
                </c:pt>
                <c:pt idx="608">
                  <c:v>405.20972613578175</c:v>
                </c:pt>
                <c:pt idx="609">
                  <c:v>406.53245251841406</c:v>
                </c:pt>
                <c:pt idx="610">
                  <c:v>407.85218867395258</c:v>
                </c:pt>
                <c:pt idx="611">
                  <c:v>409.16889719775685</c:v>
                </c:pt>
                <c:pt idx="612">
                  <c:v>410.48254105112807</c:v>
                </c:pt>
                <c:pt idx="613">
                  <c:v>411.79308356707884</c:v>
                </c:pt>
                <c:pt idx="614">
                  <c:v>413.10048845586545</c:v>
                </c:pt>
                <c:pt idx="615">
                  <c:v>414.40471981029043</c:v>
                </c:pt>
                <c:pt idx="616">
                  <c:v>415.70574211078309</c:v>
                </c:pt>
                <c:pt idx="617">
                  <c:v>417.00352023026466</c:v>
                </c:pt>
                <c:pt idx="618">
                  <c:v>418.29801943880426</c:v>
                </c:pt>
                <c:pt idx="619">
                  <c:v>419.58920540807173</c:v>
                </c:pt>
                <c:pt idx="620">
                  <c:v>420.87704421559226</c:v>
                </c:pt>
                <c:pt idx="621">
                  <c:v>422.16150234880854</c:v>
                </c:pt>
                <c:pt idx="622">
                  <c:v>423.4425467089543</c:v>
                </c:pt>
                <c:pt idx="623">
                  <c:v>424.72014461474447</c:v>
                </c:pt>
                <c:pt idx="624">
                  <c:v>425.99426380588528</c:v>
                </c:pt>
                <c:pt idx="625">
                  <c:v>427.26487244640873</c:v>
                </c:pt>
                <c:pt idx="626">
                  <c:v>428.53193912783473</c:v>
                </c:pt>
                <c:pt idx="627">
                  <c:v>429.79543287216467</c:v>
                </c:pt>
                <c:pt idx="628">
                  <c:v>431.05532313470928</c:v>
                </c:pt>
                <c:pt idx="629">
                  <c:v>432.31157980675431</c:v>
                </c:pt>
                <c:pt idx="630">
                  <c:v>433.5641732180668</c:v>
                </c:pt>
                <c:pt idx="631">
                  <c:v>434.81307413924458</c:v>
                </c:pt>
                <c:pt idx="632">
                  <c:v>436.05825378391222</c:v>
                </c:pt>
                <c:pt idx="633">
                  <c:v>437.2996838107656</c:v>
                </c:pt>
                <c:pt idx="634">
                  <c:v>438.53733632546772</c:v>
                </c:pt>
                <c:pt idx="635">
                  <c:v>439.77118388239836</c:v>
                </c:pt>
                <c:pt idx="636">
                  <c:v>441.00119948625985</c:v>
                </c:pt>
                <c:pt idx="637">
                  <c:v>442.22735659354134</c:v>
                </c:pt>
                <c:pt idx="638">
                  <c:v>443.44962911384368</c:v>
                </c:pt>
                <c:pt idx="639">
                  <c:v>444.66799141106696</c:v>
                </c:pt>
                <c:pt idx="640">
                  <c:v>445.88241830446356</c:v>
                </c:pt>
                <c:pt idx="641">
                  <c:v>447.09288506955795</c:v>
                </c:pt>
                <c:pt idx="642">
                  <c:v>448.29936743893592</c:v>
                </c:pt>
                <c:pt idx="643">
                  <c:v>449.50184160290485</c:v>
                </c:pt>
                <c:pt idx="644">
                  <c:v>450.70028421002752</c:v>
                </c:pt>
                <c:pt idx="645">
                  <c:v>451.89467236753109</c:v>
                </c:pt>
                <c:pt idx="646">
                  <c:v>453.08498364159328</c:v>
                </c:pt>
                <c:pt idx="647">
                  <c:v>454.27119605750784</c:v>
                </c:pt>
                <c:pt idx="648">
                  <c:v>455.45328809973097</c:v>
                </c:pt>
                <c:pt idx="649">
                  <c:v>456.63123871181119</c:v>
                </c:pt>
                <c:pt idx="650">
                  <c:v>457.80502729620383</c:v>
                </c:pt>
                <c:pt idx="651">
                  <c:v>458.97463371397259</c:v>
                </c:pt>
                <c:pt idx="652">
                  <c:v>460.1400382843799</c:v>
                </c:pt>
                <c:pt idx="653">
                  <c:v>461.30122178436767</c:v>
                </c:pt>
                <c:pt idx="654">
                  <c:v>462.45816544793115</c:v>
                </c:pt>
                <c:pt idx="655">
                  <c:v>463.6108509653867</c:v>
                </c:pt>
                <c:pt idx="656">
                  <c:v>464.75926048253621</c:v>
                </c:pt>
                <c:pt idx="657">
                  <c:v>465.90337659972937</c:v>
                </c:pt>
                <c:pt idx="658">
                  <c:v>467.0431823708264</c:v>
                </c:pt>
                <c:pt idx="659">
                  <c:v>468.17866130206238</c:v>
                </c:pt>
                <c:pt idx="660">
                  <c:v>469.30979735081547</c:v>
                </c:pt>
                <c:pt idx="661">
                  <c:v>470.43657492428082</c:v>
                </c:pt>
                <c:pt idx="662">
                  <c:v>471.55897887805173</c:v>
                </c:pt>
                <c:pt idx="663">
                  <c:v>472.67699451461044</c:v>
                </c:pt>
                <c:pt idx="664">
                  <c:v>473.79060758173006</c:v>
                </c:pt>
                <c:pt idx="665">
                  <c:v>474.89980427078945</c:v>
                </c:pt>
                <c:pt idx="666">
                  <c:v>476.00457121500295</c:v>
                </c:pt>
                <c:pt idx="667">
                  <c:v>477.10489548756715</c:v>
                </c:pt>
                <c:pt idx="668">
                  <c:v>478.20076459972591</c:v>
                </c:pt>
                <c:pt idx="669">
                  <c:v>479.29216649875599</c:v>
                </c:pt>
                <c:pt idx="670">
                  <c:v>480.37908956587501</c:v>
                </c:pt>
                <c:pt idx="671">
                  <c:v>481.46152261407337</c:v>
                </c:pt>
                <c:pt idx="672">
                  <c:v>482.53945488587209</c:v>
                </c:pt>
                <c:pt idx="673">
                  <c:v>483.61287605100864</c:v>
                </c:pt>
                <c:pt idx="674">
                  <c:v>484.68177620405203</c:v>
                </c:pt>
                <c:pt idx="675">
                  <c:v>485.74614586194951</c:v>
                </c:pt>
                <c:pt idx="676">
                  <c:v>486.80597596150653</c:v>
                </c:pt>
                <c:pt idx="677">
                  <c:v>487.8612578568015</c:v>
                </c:pt>
                <c:pt idx="678">
                  <c:v>488.91198331653737</c:v>
                </c:pt>
                <c:pt idx="679">
                  <c:v>489.95814452133209</c:v>
                </c:pt>
                <c:pt idx="680">
                  <c:v>490.99973406094909</c:v>
                </c:pt>
                <c:pt idx="681">
                  <c:v>492.03674493147014</c:v>
                </c:pt>
                <c:pt idx="682">
                  <c:v>493.06917053241193</c:v>
                </c:pt>
                <c:pt idx="683">
                  <c:v>494.09700466378865</c:v>
                </c:pt>
                <c:pt idx="684">
                  <c:v>495.12024152312159</c:v>
                </c:pt>
                <c:pt idx="685">
                  <c:v>496.13887570239808</c:v>
                </c:pt>
                <c:pt idx="686">
                  <c:v>497.15290218498126</c:v>
                </c:pt>
                <c:pt idx="687">
                  <c:v>498.16231634247265</c:v>
                </c:pt>
                <c:pt idx="688">
                  <c:v>499.16711393152849</c:v>
                </c:pt>
                <c:pt idx="689">
                  <c:v>500.16729109063266</c:v>
                </c:pt>
                <c:pt idx="690">
                  <c:v>501.16284433682682</c:v>
                </c:pt>
                <c:pt idx="691">
                  <c:v>502.15377056240004</c:v>
                </c:pt>
                <c:pt idx="692">
                  <c:v>503.14006703153927</c:v>
                </c:pt>
                <c:pt idx="693">
                  <c:v>504.12173137694253</c:v>
                </c:pt>
                <c:pt idx="694">
                  <c:v>505.09876159639629</c:v>
                </c:pt>
                <c:pt idx="695">
                  <c:v>506.07115604931857</c:v>
                </c:pt>
                <c:pt idx="696">
                  <c:v>507.03891345326952</c:v>
                </c:pt>
                <c:pt idx="697">
                  <c:v>508.00203288043093</c:v>
                </c:pt>
                <c:pt idx="698">
                  <c:v>508.96051375405636</c:v>
                </c:pt>
                <c:pt idx="699">
                  <c:v>509.91435584489312</c:v>
                </c:pt>
                <c:pt idx="700">
                  <c:v>510.86355926757818</c:v>
                </c:pt>
                <c:pt idx="701">
                  <c:v>511.80812447700873</c:v>
                </c:pt>
                <c:pt idx="702">
                  <c:v>512.74805226468982</c:v>
                </c:pt>
                <c:pt idx="703">
                  <c:v>513.68334375505958</c:v>
                </c:pt>
                <c:pt idx="704">
                  <c:v>514.61400040179433</c:v>
                </c:pt>
                <c:pt idx="705">
                  <c:v>515.5400239840942</c:v>
                </c:pt>
                <c:pt idx="706">
                  <c:v>516.46141660295166</c:v>
                </c:pt>
                <c:pt idx="707">
                  <c:v>517.37818067740295</c:v>
                </c:pt>
                <c:pt idx="708">
                  <c:v>518.29031894076536</c:v>
                </c:pt>
                <c:pt idx="709">
                  <c:v>519.19783443686083</c:v>
                </c:pt>
                <c:pt idx="710">
                  <c:v>520.10073051622703</c:v>
                </c:pt>
                <c:pt idx="711">
                  <c:v>520.99901083231748</c:v>
                </c:pt>
                <c:pt idx="712">
                  <c:v>521.89267933769258</c:v>
                </c:pt>
                <c:pt idx="713">
                  <c:v>522.78174028020192</c:v>
                </c:pt>
                <c:pt idx="714">
                  <c:v>523.66619819915923</c:v>
                </c:pt>
                <c:pt idx="715">
                  <c:v>524.54605792151222</c:v>
                </c:pt>
                <c:pt idx="716">
                  <c:v>525.42132455800697</c:v>
                </c:pt>
                <c:pt idx="717">
                  <c:v>526.29200349934933</c:v>
                </c:pt>
                <c:pt idx="718">
                  <c:v>527.15810041236364</c:v>
                </c:pt>
                <c:pt idx="719">
                  <c:v>528.01962123615078</c:v>
                </c:pt>
                <c:pt idx="720">
                  <c:v>528.87657217824551</c:v>
                </c:pt>
                <c:pt idx="721">
                  <c:v>529.72895971077548</c:v>
                </c:pt>
                <c:pt idx="722">
                  <c:v>530.57679056662187</c:v>
                </c:pt>
                <c:pt idx="723">
                  <c:v>531.42007173558341</c:v>
                </c:pt>
                <c:pt idx="724">
                  <c:v>532.25881046054462</c:v>
                </c:pt>
                <c:pt idx="725">
                  <c:v>533.09301423364934</c:v>
                </c:pt>
                <c:pt idx="726">
                  <c:v>533.92269079248001</c:v>
                </c:pt>
                <c:pt idx="727">
                  <c:v>534.74784811624488</c:v>
                </c:pt>
                <c:pt idx="728">
                  <c:v>535.56849442197267</c:v>
                </c:pt>
                <c:pt idx="729">
                  <c:v>536.38463816071646</c:v>
                </c:pt>
                <c:pt idx="730">
                  <c:v>537.19628801376746</c:v>
                </c:pt>
                <c:pt idx="731">
                  <c:v>538.00345288888013</c:v>
                </c:pt>
                <c:pt idx="732">
                  <c:v>538.80614191650807</c:v>
                </c:pt>
                <c:pt idx="733">
                  <c:v>539.60436444605307</c:v>
                </c:pt>
                <c:pt idx="734">
                  <c:v>540.39813004212715</c:v>
                </c:pt>
                <c:pt idx="735">
                  <c:v>541.18744848082906</c:v>
                </c:pt>
                <c:pt idx="736">
                  <c:v>541.97232974603548</c:v>
                </c:pt>
                <c:pt idx="737">
                  <c:v>542.75278402570746</c:v>
                </c:pt>
                <c:pt idx="738">
                  <c:v>543.52882170821397</c:v>
                </c:pt>
                <c:pt idx="739">
                  <c:v>544.30045337867205</c:v>
                </c:pt>
                <c:pt idx="740">
                  <c:v>545.06768981530467</c:v>
                </c:pt>
                <c:pt idx="741">
                  <c:v>545.8305419858176</c:v>
                </c:pt>
                <c:pt idx="742">
                  <c:v>546.58902104379433</c:v>
                </c:pt>
                <c:pt idx="743">
                  <c:v>547.34313832511179</c:v>
                </c:pt>
                <c:pt idx="744">
                  <c:v>548.09290534437571</c:v>
                </c:pt>
                <c:pt idx="745">
                  <c:v>548.83833379137695</c:v>
                </c:pt>
                <c:pt idx="746">
                  <c:v>549.57943552756956</c:v>
                </c:pt>
                <c:pt idx="747">
                  <c:v>550.31622258257039</c:v>
                </c:pt>
                <c:pt idx="748">
                  <c:v>551.04870715068205</c:v>
                </c:pt>
                <c:pt idx="749">
                  <c:v>551.77690158743769</c:v>
                </c:pt>
                <c:pt idx="750">
                  <c:v>552.50081840617065</c:v>
                </c:pt>
                <c:pt idx="751">
                  <c:v>553.22047027460712</c:v>
                </c:pt>
                <c:pt idx="752">
                  <c:v>553.93587001148353</c:v>
                </c:pt>
                <c:pt idx="753">
                  <c:v>554.64703058318912</c:v>
                </c:pt>
                <c:pt idx="754">
                  <c:v>555.35396510043358</c:v>
                </c:pt>
                <c:pt idx="755">
                  <c:v>556.05668681494024</c:v>
                </c:pt>
                <c:pt idx="756">
                  <c:v>556.7552091161657</c:v>
                </c:pt>
                <c:pt idx="757">
                  <c:v>557.44954552804575</c:v>
                </c:pt>
                <c:pt idx="758">
                  <c:v>558.13970970576793</c:v>
                </c:pt>
                <c:pt idx="759">
                  <c:v>558.82571543257131</c:v>
                </c:pt>
                <c:pt idx="760">
                  <c:v>559.50757661657394</c:v>
                </c:pt>
                <c:pt idx="761">
                  <c:v>560.18530728762767</c:v>
                </c:pt>
                <c:pt idx="762">
                  <c:v>560.85892159420132</c:v>
                </c:pt>
                <c:pt idx="763">
                  <c:v>561.52843380029185</c:v>
                </c:pt>
                <c:pt idx="764">
                  <c:v>562.1938582823642</c:v>
                </c:pt>
                <c:pt idx="765">
                  <c:v>562.85520952631987</c:v>
                </c:pt>
                <c:pt idx="766">
                  <c:v>563.51250212449452</c:v>
                </c:pt>
                <c:pt idx="767">
                  <c:v>564.16575077268465</c:v>
                </c:pt>
                <c:pt idx="768">
                  <c:v>564.81497026720388</c:v>
                </c:pt>
                <c:pt idx="769">
                  <c:v>565.46017550196871</c:v>
                </c:pt>
                <c:pt idx="770">
                  <c:v>566.10138146561349</c:v>
                </c:pt>
                <c:pt idx="771">
                  <c:v>566.73860323863619</c:v>
                </c:pt>
                <c:pt idx="772">
                  <c:v>567.37185599057341</c:v>
                </c:pt>
                <c:pt idx="773">
                  <c:v>568.00115497720594</c:v>
                </c:pt>
                <c:pt idx="774">
                  <c:v>568.62651553779426</c:v>
                </c:pt>
                <c:pt idx="775">
                  <c:v>568.62651553779426</c:v>
                </c:pt>
                <c:pt idx="776">
                  <c:v>568.62651553779426</c:v>
                </c:pt>
                <c:pt idx="777">
                  <c:v>568.62651553779426</c:v>
                </c:pt>
                <c:pt idx="778">
                  <c:v>568.62651553779426</c:v>
                </c:pt>
                <c:pt idx="779">
                  <c:v>568.62651553779426</c:v>
                </c:pt>
                <c:pt idx="780">
                  <c:v>568.62651553779426</c:v>
                </c:pt>
                <c:pt idx="781">
                  <c:v>568.62651553779426</c:v>
                </c:pt>
                <c:pt idx="782">
                  <c:v>568.62651553779426</c:v>
                </c:pt>
                <c:pt idx="783">
                  <c:v>568.62651553779426</c:v>
                </c:pt>
                <c:pt idx="784">
                  <c:v>568.62651553779426</c:v>
                </c:pt>
                <c:pt idx="785">
                  <c:v>568.62651553779426</c:v>
                </c:pt>
                <c:pt idx="786">
                  <c:v>568.62651553779426</c:v>
                </c:pt>
                <c:pt idx="787">
                  <c:v>568.62651553779426</c:v>
                </c:pt>
                <c:pt idx="788">
                  <c:v>568.62651553779426</c:v>
                </c:pt>
                <c:pt idx="789">
                  <c:v>568.62651553779426</c:v>
                </c:pt>
                <c:pt idx="790">
                  <c:v>568.62651553779426</c:v>
                </c:pt>
                <c:pt idx="791">
                  <c:v>568.62651553779426</c:v>
                </c:pt>
                <c:pt idx="792">
                  <c:v>568.62651553779426</c:v>
                </c:pt>
                <c:pt idx="793">
                  <c:v>568.62651553779426</c:v>
                </c:pt>
                <c:pt idx="794">
                  <c:v>568.62651553779426</c:v>
                </c:pt>
                <c:pt idx="795">
                  <c:v>568.62651553779426</c:v>
                </c:pt>
                <c:pt idx="796">
                  <c:v>568.62651553779426</c:v>
                </c:pt>
                <c:pt idx="797">
                  <c:v>568.62651553779426</c:v>
                </c:pt>
                <c:pt idx="798">
                  <c:v>568.62651553779426</c:v>
                </c:pt>
                <c:pt idx="799">
                  <c:v>568.62651553779426</c:v>
                </c:pt>
                <c:pt idx="800">
                  <c:v>568.62651553779426</c:v>
                </c:pt>
                <c:pt idx="801">
                  <c:v>568.62651553779426</c:v>
                </c:pt>
                <c:pt idx="802">
                  <c:v>568.62651553779426</c:v>
                </c:pt>
                <c:pt idx="803">
                  <c:v>568.62651553779426</c:v>
                </c:pt>
                <c:pt idx="804">
                  <c:v>568.62651553779426</c:v>
                </c:pt>
                <c:pt idx="805">
                  <c:v>568.62651553779426</c:v>
                </c:pt>
                <c:pt idx="806">
                  <c:v>568.62651553779426</c:v>
                </c:pt>
                <c:pt idx="807">
                  <c:v>568.62651553779426</c:v>
                </c:pt>
                <c:pt idx="808">
                  <c:v>568.62651553779426</c:v>
                </c:pt>
                <c:pt idx="809">
                  <c:v>568.62651553779426</c:v>
                </c:pt>
                <c:pt idx="810">
                  <c:v>568.62651553779426</c:v>
                </c:pt>
                <c:pt idx="811">
                  <c:v>568.62651553779426</c:v>
                </c:pt>
                <c:pt idx="812">
                  <c:v>568.62651553779426</c:v>
                </c:pt>
                <c:pt idx="813">
                  <c:v>568.62651553779426</c:v>
                </c:pt>
                <c:pt idx="814">
                  <c:v>568.62651553779426</c:v>
                </c:pt>
                <c:pt idx="815">
                  <c:v>568.62651553779426</c:v>
                </c:pt>
                <c:pt idx="816">
                  <c:v>568.62651553779426</c:v>
                </c:pt>
                <c:pt idx="817">
                  <c:v>568.62651553779426</c:v>
                </c:pt>
                <c:pt idx="818">
                  <c:v>568.62651553779426</c:v>
                </c:pt>
                <c:pt idx="819">
                  <c:v>568.62651553779426</c:v>
                </c:pt>
                <c:pt idx="820">
                  <c:v>568.62651553779426</c:v>
                </c:pt>
                <c:pt idx="821">
                  <c:v>568.62651553779426</c:v>
                </c:pt>
                <c:pt idx="822">
                  <c:v>568.62651553779426</c:v>
                </c:pt>
                <c:pt idx="823">
                  <c:v>568.62651553779426</c:v>
                </c:pt>
                <c:pt idx="824">
                  <c:v>568.62651553779426</c:v>
                </c:pt>
                <c:pt idx="825">
                  <c:v>568.62651553779426</c:v>
                </c:pt>
                <c:pt idx="826">
                  <c:v>568.62651553779426</c:v>
                </c:pt>
                <c:pt idx="827">
                  <c:v>568.62651553779426</c:v>
                </c:pt>
                <c:pt idx="828">
                  <c:v>568.62651553779426</c:v>
                </c:pt>
                <c:pt idx="829">
                  <c:v>568.62651553779426</c:v>
                </c:pt>
                <c:pt idx="830">
                  <c:v>568.62651553779426</c:v>
                </c:pt>
                <c:pt idx="831">
                  <c:v>568.62651553779426</c:v>
                </c:pt>
                <c:pt idx="832">
                  <c:v>568.62651553779426</c:v>
                </c:pt>
                <c:pt idx="833">
                  <c:v>568.62651553779426</c:v>
                </c:pt>
                <c:pt idx="834">
                  <c:v>568.62651553779426</c:v>
                </c:pt>
                <c:pt idx="835">
                  <c:v>568.62651553779426</c:v>
                </c:pt>
                <c:pt idx="836">
                  <c:v>568.62651553779426</c:v>
                </c:pt>
                <c:pt idx="837">
                  <c:v>568.62651553779426</c:v>
                </c:pt>
                <c:pt idx="838">
                  <c:v>568.62651553779426</c:v>
                </c:pt>
                <c:pt idx="839">
                  <c:v>568.62651553779426</c:v>
                </c:pt>
                <c:pt idx="840">
                  <c:v>568.62651553779426</c:v>
                </c:pt>
                <c:pt idx="841">
                  <c:v>568.62651553779426</c:v>
                </c:pt>
                <c:pt idx="842">
                  <c:v>568.62651553779426</c:v>
                </c:pt>
                <c:pt idx="843">
                  <c:v>568.62651553779426</c:v>
                </c:pt>
                <c:pt idx="844">
                  <c:v>568.62651553779426</c:v>
                </c:pt>
                <c:pt idx="845">
                  <c:v>568.62651553779426</c:v>
                </c:pt>
                <c:pt idx="846">
                  <c:v>568.62651553779426</c:v>
                </c:pt>
                <c:pt idx="847">
                  <c:v>568.62651553779426</c:v>
                </c:pt>
                <c:pt idx="848">
                  <c:v>568.62651553779426</c:v>
                </c:pt>
                <c:pt idx="849">
                  <c:v>568.62651553779426</c:v>
                </c:pt>
                <c:pt idx="850">
                  <c:v>568.62651553779426</c:v>
                </c:pt>
                <c:pt idx="851">
                  <c:v>568.62651553779426</c:v>
                </c:pt>
                <c:pt idx="852">
                  <c:v>568.62651553779426</c:v>
                </c:pt>
                <c:pt idx="853">
                  <c:v>568.62651553779426</c:v>
                </c:pt>
                <c:pt idx="854">
                  <c:v>568.62651553779426</c:v>
                </c:pt>
                <c:pt idx="855">
                  <c:v>568.62651553779426</c:v>
                </c:pt>
                <c:pt idx="856">
                  <c:v>568.62651553779426</c:v>
                </c:pt>
                <c:pt idx="857">
                  <c:v>568.62651553779426</c:v>
                </c:pt>
                <c:pt idx="858">
                  <c:v>568.62651553779426</c:v>
                </c:pt>
                <c:pt idx="859">
                  <c:v>568.62651553779426</c:v>
                </c:pt>
                <c:pt idx="860">
                  <c:v>568.62651553779426</c:v>
                </c:pt>
                <c:pt idx="861">
                  <c:v>568.62651553779426</c:v>
                </c:pt>
                <c:pt idx="862">
                  <c:v>568.62651553779426</c:v>
                </c:pt>
                <c:pt idx="863">
                  <c:v>568.62651553779426</c:v>
                </c:pt>
                <c:pt idx="864">
                  <c:v>568.62651553779426</c:v>
                </c:pt>
                <c:pt idx="865">
                  <c:v>568.62651553779426</c:v>
                </c:pt>
                <c:pt idx="866">
                  <c:v>568.62651553779426</c:v>
                </c:pt>
                <c:pt idx="867">
                  <c:v>568.62651553779426</c:v>
                </c:pt>
                <c:pt idx="868">
                  <c:v>568.62651553779426</c:v>
                </c:pt>
                <c:pt idx="869">
                  <c:v>568.62651553779426</c:v>
                </c:pt>
                <c:pt idx="870">
                  <c:v>568.62651553779426</c:v>
                </c:pt>
                <c:pt idx="871">
                  <c:v>568.62651553779426</c:v>
                </c:pt>
                <c:pt idx="872">
                  <c:v>568.62651553779426</c:v>
                </c:pt>
                <c:pt idx="873">
                  <c:v>568.62651553779426</c:v>
                </c:pt>
                <c:pt idx="874">
                  <c:v>568.62651553779426</c:v>
                </c:pt>
                <c:pt idx="875">
                  <c:v>568.62651553779426</c:v>
                </c:pt>
                <c:pt idx="876">
                  <c:v>568.62651553779426</c:v>
                </c:pt>
                <c:pt idx="877">
                  <c:v>568.62651553779426</c:v>
                </c:pt>
                <c:pt idx="878">
                  <c:v>568.62651553779426</c:v>
                </c:pt>
                <c:pt idx="879">
                  <c:v>568.62651553779426</c:v>
                </c:pt>
                <c:pt idx="880">
                  <c:v>568.62651553779426</c:v>
                </c:pt>
                <c:pt idx="881">
                  <c:v>568.62651553779426</c:v>
                </c:pt>
                <c:pt idx="882">
                  <c:v>568.62651553779426</c:v>
                </c:pt>
                <c:pt idx="883">
                  <c:v>568.62651553779426</c:v>
                </c:pt>
                <c:pt idx="884">
                  <c:v>568.62651553779426</c:v>
                </c:pt>
                <c:pt idx="885">
                  <c:v>568.62651553779426</c:v>
                </c:pt>
                <c:pt idx="886">
                  <c:v>568.62651553779426</c:v>
                </c:pt>
                <c:pt idx="887">
                  <c:v>568.62651553779426</c:v>
                </c:pt>
                <c:pt idx="888">
                  <c:v>568.62651553779426</c:v>
                </c:pt>
                <c:pt idx="889">
                  <c:v>568.62651553779426</c:v>
                </c:pt>
                <c:pt idx="890">
                  <c:v>568.62651553779426</c:v>
                </c:pt>
                <c:pt idx="891">
                  <c:v>568.62651553779426</c:v>
                </c:pt>
                <c:pt idx="892">
                  <c:v>568.62651553779426</c:v>
                </c:pt>
                <c:pt idx="893">
                  <c:v>568.62651553779426</c:v>
                </c:pt>
                <c:pt idx="894">
                  <c:v>568.62651553779426</c:v>
                </c:pt>
                <c:pt idx="895">
                  <c:v>568.62651553779426</c:v>
                </c:pt>
                <c:pt idx="896">
                  <c:v>568.62651553779426</c:v>
                </c:pt>
                <c:pt idx="897">
                  <c:v>568.62651553779426</c:v>
                </c:pt>
                <c:pt idx="898">
                  <c:v>568.62651553779426</c:v>
                </c:pt>
                <c:pt idx="899">
                  <c:v>568.62651553779426</c:v>
                </c:pt>
                <c:pt idx="900">
                  <c:v>568.62651553779426</c:v>
                </c:pt>
                <c:pt idx="901">
                  <c:v>568.62651553779426</c:v>
                </c:pt>
                <c:pt idx="902">
                  <c:v>568.62651553779426</c:v>
                </c:pt>
                <c:pt idx="903">
                  <c:v>568.62651553779426</c:v>
                </c:pt>
                <c:pt idx="904">
                  <c:v>568.62651553779426</c:v>
                </c:pt>
                <c:pt idx="905">
                  <c:v>568.62651553779426</c:v>
                </c:pt>
                <c:pt idx="906">
                  <c:v>568.62651553779426</c:v>
                </c:pt>
                <c:pt idx="907">
                  <c:v>568.62651553779426</c:v>
                </c:pt>
                <c:pt idx="908">
                  <c:v>568.62651553779426</c:v>
                </c:pt>
                <c:pt idx="909">
                  <c:v>568.62651553779426</c:v>
                </c:pt>
                <c:pt idx="910">
                  <c:v>568.62651553779426</c:v>
                </c:pt>
                <c:pt idx="911">
                  <c:v>568.62651553779426</c:v>
                </c:pt>
                <c:pt idx="912">
                  <c:v>568.62651553779426</c:v>
                </c:pt>
                <c:pt idx="913">
                  <c:v>568.62651553779426</c:v>
                </c:pt>
                <c:pt idx="914">
                  <c:v>568.62651553779426</c:v>
                </c:pt>
                <c:pt idx="915">
                  <c:v>568.62651553779426</c:v>
                </c:pt>
                <c:pt idx="916">
                  <c:v>568.62651553779426</c:v>
                </c:pt>
                <c:pt idx="917">
                  <c:v>568.62651553779426</c:v>
                </c:pt>
                <c:pt idx="918">
                  <c:v>568.62651553779426</c:v>
                </c:pt>
                <c:pt idx="919">
                  <c:v>568.62651553779426</c:v>
                </c:pt>
                <c:pt idx="920">
                  <c:v>568.62651553779426</c:v>
                </c:pt>
                <c:pt idx="921">
                  <c:v>568.62651553779426</c:v>
                </c:pt>
                <c:pt idx="922">
                  <c:v>568.62651553779426</c:v>
                </c:pt>
                <c:pt idx="923">
                  <c:v>568.62651553779426</c:v>
                </c:pt>
                <c:pt idx="924">
                  <c:v>568.62651553779426</c:v>
                </c:pt>
                <c:pt idx="925">
                  <c:v>568.62651553779426</c:v>
                </c:pt>
                <c:pt idx="926">
                  <c:v>568.62651553779426</c:v>
                </c:pt>
                <c:pt idx="927">
                  <c:v>568.62651553779426</c:v>
                </c:pt>
                <c:pt idx="928">
                  <c:v>568.62651553779426</c:v>
                </c:pt>
                <c:pt idx="929">
                  <c:v>568.62651553779426</c:v>
                </c:pt>
                <c:pt idx="930">
                  <c:v>568.62651553779426</c:v>
                </c:pt>
                <c:pt idx="931">
                  <c:v>568.62651553779426</c:v>
                </c:pt>
                <c:pt idx="932">
                  <c:v>568.62651553779426</c:v>
                </c:pt>
                <c:pt idx="933">
                  <c:v>568.62651553779426</c:v>
                </c:pt>
                <c:pt idx="934">
                  <c:v>568.62651553779426</c:v>
                </c:pt>
                <c:pt idx="935">
                  <c:v>568.62651553779426</c:v>
                </c:pt>
                <c:pt idx="936">
                  <c:v>568.62651553779426</c:v>
                </c:pt>
                <c:pt idx="937">
                  <c:v>568.62651553779426</c:v>
                </c:pt>
                <c:pt idx="938">
                  <c:v>568.62651553779426</c:v>
                </c:pt>
                <c:pt idx="939">
                  <c:v>568.62651553779426</c:v>
                </c:pt>
                <c:pt idx="940">
                  <c:v>568.62651553779426</c:v>
                </c:pt>
                <c:pt idx="941">
                  <c:v>568.62651553779426</c:v>
                </c:pt>
                <c:pt idx="942">
                  <c:v>568.62651553779426</c:v>
                </c:pt>
                <c:pt idx="943">
                  <c:v>568.62651553779426</c:v>
                </c:pt>
                <c:pt idx="944">
                  <c:v>568.62651553779426</c:v>
                </c:pt>
                <c:pt idx="945">
                  <c:v>568.62651553779426</c:v>
                </c:pt>
                <c:pt idx="946">
                  <c:v>568.62651553779426</c:v>
                </c:pt>
                <c:pt idx="947">
                  <c:v>568.62651553779426</c:v>
                </c:pt>
                <c:pt idx="948">
                  <c:v>568.62651553779426</c:v>
                </c:pt>
                <c:pt idx="949">
                  <c:v>568.62651553779426</c:v>
                </c:pt>
                <c:pt idx="950">
                  <c:v>568.62651553779426</c:v>
                </c:pt>
                <c:pt idx="951">
                  <c:v>568.62651553779426</c:v>
                </c:pt>
                <c:pt idx="952">
                  <c:v>568.62651553779426</c:v>
                </c:pt>
                <c:pt idx="953">
                  <c:v>568.62651553779426</c:v>
                </c:pt>
                <c:pt idx="954">
                  <c:v>568.62651553779426</c:v>
                </c:pt>
                <c:pt idx="955">
                  <c:v>568.62651553779426</c:v>
                </c:pt>
                <c:pt idx="956">
                  <c:v>568.62651553779426</c:v>
                </c:pt>
                <c:pt idx="957">
                  <c:v>568.62651553779426</c:v>
                </c:pt>
                <c:pt idx="958">
                  <c:v>568.62651553779426</c:v>
                </c:pt>
                <c:pt idx="959">
                  <c:v>568.62651553779426</c:v>
                </c:pt>
                <c:pt idx="960">
                  <c:v>568.62651553779426</c:v>
                </c:pt>
                <c:pt idx="961">
                  <c:v>568.62651553779426</c:v>
                </c:pt>
                <c:pt idx="962">
                  <c:v>568.62651553779426</c:v>
                </c:pt>
                <c:pt idx="963">
                  <c:v>568.62651553779426</c:v>
                </c:pt>
                <c:pt idx="964">
                  <c:v>568.62651553779426</c:v>
                </c:pt>
                <c:pt idx="965">
                  <c:v>568.62651553779426</c:v>
                </c:pt>
                <c:pt idx="966">
                  <c:v>568.62651553779426</c:v>
                </c:pt>
                <c:pt idx="967">
                  <c:v>568.62651553779426</c:v>
                </c:pt>
                <c:pt idx="968">
                  <c:v>568.62651553779426</c:v>
                </c:pt>
                <c:pt idx="969">
                  <c:v>568.62651553779426</c:v>
                </c:pt>
                <c:pt idx="970">
                  <c:v>568.62651553779426</c:v>
                </c:pt>
                <c:pt idx="971">
                  <c:v>568.62651553779426</c:v>
                </c:pt>
                <c:pt idx="972">
                  <c:v>568.62651553779426</c:v>
                </c:pt>
                <c:pt idx="973">
                  <c:v>568.62651553779426</c:v>
                </c:pt>
                <c:pt idx="974">
                  <c:v>568.62651553779426</c:v>
                </c:pt>
                <c:pt idx="975">
                  <c:v>568.62651553779426</c:v>
                </c:pt>
                <c:pt idx="976">
                  <c:v>568.62651553779426</c:v>
                </c:pt>
                <c:pt idx="977">
                  <c:v>568.62651553779426</c:v>
                </c:pt>
                <c:pt idx="978">
                  <c:v>568.62651553779426</c:v>
                </c:pt>
                <c:pt idx="979">
                  <c:v>568.62651553779426</c:v>
                </c:pt>
                <c:pt idx="980">
                  <c:v>568.62651553779426</c:v>
                </c:pt>
                <c:pt idx="981">
                  <c:v>568.62651553779426</c:v>
                </c:pt>
                <c:pt idx="982">
                  <c:v>568.62651553779426</c:v>
                </c:pt>
                <c:pt idx="983">
                  <c:v>568.62651553779426</c:v>
                </c:pt>
                <c:pt idx="984">
                  <c:v>568.62651553779426</c:v>
                </c:pt>
                <c:pt idx="985">
                  <c:v>568.62651553779426</c:v>
                </c:pt>
                <c:pt idx="986">
                  <c:v>568.62651553779426</c:v>
                </c:pt>
                <c:pt idx="987">
                  <c:v>568.62651553779426</c:v>
                </c:pt>
                <c:pt idx="988">
                  <c:v>568.62651553779426</c:v>
                </c:pt>
                <c:pt idx="989">
                  <c:v>568.62651553779426</c:v>
                </c:pt>
                <c:pt idx="990">
                  <c:v>568.62651553779426</c:v>
                </c:pt>
                <c:pt idx="991">
                  <c:v>568.62651553779426</c:v>
                </c:pt>
                <c:pt idx="992">
                  <c:v>568.62651553779426</c:v>
                </c:pt>
                <c:pt idx="993">
                  <c:v>568.62651553779426</c:v>
                </c:pt>
                <c:pt idx="994">
                  <c:v>568.62651553779426</c:v>
                </c:pt>
                <c:pt idx="995">
                  <c:v>568.62651553779426</c:v>
                </c:pt>
                <c:pt idx="996">
                  <c:v>568.62651553779426</c:v>
                </c:pt>
                <c:pt idx="997">
                  <c:v>568.62651553779426</c:v>
                </c:pt>
                <c:pt idx="998">
                  <c:v>568.62651553779426</c:v>
                </c:pt>
                <c:pt idx="999">
                  <c:v>568.62651553779426</c:v>
                </c:pt>
                <c:pt idx="1000">
                  <c:v>568.62651553779426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1.3233354686966879E-4</c:v>
                </c:pt>
                <c:pt idx="2">
                  <c:v>1.7678971011637825E-3</c:v>
                </c:pt>
                <c:pt idx="3">
                  <c:v>7.3846649585392532E-3</c:v>
                </c:pt>
                <c:pt idx="4">
                  <c:v>1.9462765294790782E-2</c:v>
                </c:pt>
                <c:pt idx="5">
                  <c:v>4.0485388323537631E-2</c:v>
                </c:pt>
                <c:pt idx="6">
                  <c:v>7.2311495227104908E-2</c:v>
                </c:pt>
                <c:pt idx="7">
                  <c:v>0.11554661406552218</c:v>
                </c:pt>
                <c:pt idx="8">
                  <c:v>0.17016875077340787</c:v>
                </c:pt>
                <c:pt idx="9">
                  <c:v>0.23615576217981632</c:v>
                </c:pt>
                <c:pt idx="10">
                  <c:v>0.3134853564423159</c:v>
                </c:pt>
                <c:pt idx="11">
                  <c:v>0.40213509348839366</c:v>
                </c:pt>
                <c:pt idx="12">
                  <c:v>0.5020823854641463</c:v>
                </c:pt>
                <c:pt idx="13">
                  <c:v>0.61330449719021651</c:v>
                </c:pt>
                <c:pt idx="14">
                  <c:v>0.73577854662493314</c:v>
                </c:pt>
                <c:pt idx="15">
                  <c:v>0.86948150533461188</c:v>
                </c:pt>
                <c:pt idx="16">
                  <c:v>1.0143901989709738</c:v>
                </c:pt>
                <c:pt idx="17">
                  <c:v>1.1704813077556369</c:v>
                </c:pt>
                <c:pt idx="18">
                  <c:v>1.3377313669716355</c:v>
                </c:pt>
                <c:pt idx="19">
                  <c:v>1.5161167674619227</c:v>
                </c:pt>
                <c:pt idx="20">
                  <c:v>1.705613756134807</c:v>
                </c:pt>
                <c:pt idx="21">
                  <c:v>1.9061984364762792</c:v>
                </c:pt>
                <c:pt idx="22">
                  <c:v>2.1178467690691769</c:v>
                </c:pt>
                <c:pt idx="23">
                  <c:v>2.3405345721191422</c:v>
                </c:pt>
                <c:pt idx="24">
                  <c:v>2.5742375219873179</c:v>
                </c:pt>
                <c:pt idx="25">
                  <c:v>2.8189311537297388</c:v>
                </c:pt>
                <c:pt idx="26">
                  <c:v>3.0745908616433573</c:v>
                </c:pt>
                <c:pt idx="27">
                  <c:v>3.3411918998186607</c:v>
                </c:pt>
                <c:pt idx="28">
                  <c:v>3.6187093826988224</c:v>
                </c:pt>
                <c:pt idx="29">
                  <c:v>3.9071182856453341</c:v>
                </c:pt>
                <c:pt idx="30">
                  <c:v>4.2063934455100664</c:v>
                </c:pt>
                <c:pt idx="31">
                  <c:v>4.5165058330928476</c:v>
                </c:pt>
                <c:pt idx="32">
                  <c:v>4.8374261449249225</c:v>
                </c:pt>
                <c:pt idx="33">
                  <c:v>5.1691285340213797</c:v>
                </c:pt>
                <c:pt idx="34">
                  <c:v>5.5115870234091933</c:v>
                </c:pt>
                <c:pt idx="35">
                  <c:v>5.8647755085918361</c:v>
                </c:pt>
                <c:pt idx="36">
                  <c:v>6.2286677577231684</c:v>
                </c:pt>
                <c:pt idx="37">
                  <c:v>6.6032374118248418</c:v>
                </c:pt>
                <c:pt idx="38">
                  <c:v>6.9884579850429116</c:v>
                </c:pt>
                <c:pt idx="39">
                  <c:v>7.3843028649399383</c:v>
                </c:pt>
                <c:pt idx="40">
                  <c:v>7.7907453128193618</c:v>
                </c:pt>
                <c:pt idx="41">
                  <c:v>8.207758464079328</c:v>
                </c:pt>
                <c:pt idx="42">
                  <c:v>8.6353153285935189</c:v>
                </c:pt>
                <c:pt idx="43">
                  <c:v>9.0733887911168214</c:v>
                </c:pt>
                <c:pt idx="44">
                  <c:v>9.5219516117139342</c:v>
                </c:pt>
                <c:pt idx="45">
                  <c:v>9.9809764262092102</c:v>
                </c:pt>
                <c:pt idx="46">
                  <c:v>10.45043574665625</c:v>
                </c:pt>
                <c:pt idx="47">
                  <c:v>10.930301961825897</c:v>
                </c:pt>
                <c:pt idx="48">
                  <c:v>11.420547337711429</c:v>
                </c:pt>
                <c:pt idx="49">
                  <c:v>11.921144018049887</c:v>
                </c:pt>
                <c:pt idx="50">
                  <c:v>12.432064024858539</c:v>
                </c:pt>
                <c:pt idx="51">
                  <c:v>12.953282582380416</c:v>
                </c:pt>
                <c:pt idx="52">
                  <c:v>13.484781447029643</c:v>
                </c:pt>
                <c:pt idx="53">
                  <c:v>14.026545592720122</c:v>
                </c:pt>
                <c:pt idx="54">
                  <c:v>14.578559890023286</c:v>
                </c:pt>
                <c:pt idx="55">
                  <c:v>15.140809106374764</c:v>
                </c:pt>
                <c:pt idx="56">
                  <c:v>15.713277906290934</c:v>
                </c:pt>
                <c:pt idx="57">
                  <c:v>16.295950851594956</c:v>
                </c:pt>
                <c:pt idx="58">
                  <c:v>16.888812401651926</c:v>
                </c:pt>
                <c:pt idx="59">
                  <c:v>17.49184691361279</c:v>
                </c:pt>
                <c:pt idx="60">
                  <c:v>18.105038642666727</c:v>
                </c:pt>
                <c:pt idx="61">
                  <c:v>18.728371742301682</c:v>
                </c:pt>
                <c:pt idx="62">
                  <c:v>19.361830264572792</c:v>
                </c:pt>
                <c:pt idx="63">
                  <c:v>20.005398160378441</c:v>
                </c:pt>
                <c:pt idx="64">
                  <c:v>20.659059279743751</c:v>
                </c:pt>
                <c:pt idx="65">
                  <c:v>21.322797372111214</c:v>
                </c:pt>
                <c:pt idx="66">
                  <c:v>21.996596086638341</c:v>
                </c:pt>
                <c:pt idx="67">
                  <c:v>22.680438972502074</c:v>
                </c:pt>
                <c:pt idx="68">
                  <c:v>23.37430947920981</c:v>
                </c:pt>
                <c:pt idx="69">
                  <c:v>24.078190956916874</c:v>
                </c:pt>
                <c:pt idx="70">
                  <c:v>24.792066656750261</c:v>
                </c:pt>
                <c:pt idx="71">
                  <c:v>25.515919731138499</c:v>
                </c:pt>
                <c:pt idx="72">
                  <c:v>26.249733234147506</c:v>
                </c:pt>
                <c:pt idx="73">
                  <c:v>26.99349012182228</c:v>
                </c:pt>
                <c:pt idx="74">
                  <c:v>27.747173252534331</c:v>
                </c:pt>
                <c:pt idx="75">
                  <c:v>28.510765387334679</c:v>
                </c:pt>
                <c:pt idx="76">
                  <c:v>29.284249190312352</c:v>
                </c:pt>
                <c:pt idx="77">
                  <c:v>30.067607228958231</c:v>
                </c:pt>
                <c:pt idx="78">
                  <c:v>30.860821974534179</c:v>
                </c:pt>
                <c:pt idx="79">
                  <c:v>31.663875802447297</c:v>
                </c:pt>
                <c:pt idx="80">
                  <c:v>32.476750992629256</c:v>
                </c:pt>
                <c:pt idx="81">
                  <c:v>33.299429729920583</c:v>
                </c:pt>
                <c:pt idx="82">
                  <c:v>34.131894104459818</c:v>
                </c:pt>
                <c:pt idx="83">
                  <c:v>34.97412611207745</c:v>
                </c:pt>
                <c:pt idx="84">
                  <c:v>35.826107654694546</c:v>
                </c:pt>
                <c:pt idx="85">
                  <c:v>36.687820540726001</c:v>
                </c:pt>
                <c:pt idx="86">
                  <c:v>37.559246485488302</c:v>
                </c:pt>
                <c:pt idx="87">
                  <c:v>38.440367111611778</c:v>
                </c:pt>
                <c:pt idx="88">
                  <c:v>39.331163949457171</c:v>
                </c:pt>
                <c:pt idx="89">
                  <c:v>40.231618437536575</c:v>
                </c:pt>
                <c:pt idx="90">
                  <c:v>41.141711922938555</c:v>
                </c:pt>
                <c:pt idx="91">
                  <c:v>42.061425661757454</c:v>
                </c:pt>
                <c:pt idx="92">
                  <c:v>42.990740819526756</c:v>
                </c:pt>
                <c:pt idx="93">
                  <c:v>43.929638471656531</c:v>
                </c:pt>
                <c:pt idx="94">
                  <c:v>44.878099603874766</c:v>
                </c:pt>
                <c:pt idx="95">
                  <c:v>45.836105112672634</c:v>
                </c:pt>
                <c:pt idx="96">
                  <c:v>46.803635805753579</c:v>
                </c:pt>
                <c:pt idx="97">
                  <c:v>47.780672402486154</c:v>
                </c:pt>
                <c:pt idx="98">
                  <c:v>48.767195534360567</c:v>
                </c:pt>
                <c:pt idx="99">
                  <c:v>49.76318574544888</c:v>
                </c:pt>
                <c:pt idx="100">
                  <c:v>50.76862349286877</c:v>
                </c:pt>
                <c:pt idx="101">
                  <c:v>51.783487606594051</c:v>
                </c:pt>
                <c:pt idx="102">
                  <c:v>52.807753747314081</c:v>
                </c:pt>
                <c:pt idx="103">
                  <c:v>53.841395945364965</c:v>
                </c:pt>
                <c:pt idx="104">
                  <c:v>54.884388141708492</c:v>
                </c:pt>
                <c:pt idx="105">
                  <c:v>55.936704188592621</c:v>
                </c:pt>
                <c:pt idx="106">
                  <c:v>56.998317850215017</c:v>
                </c:pt>
                <c:pt idx="107">
                  <c:v>58.069202803389466</c:v>
                </c:pt>
                <c:pt idx="108">
                  <c:v>59.149332638215199</c:v>
                </c:pt>
                <c:pt idx="109">
                  <c:v>60.238680858748971</c:v>
                </c:pt>
                <c:pt idx="110">
                  <c:v>61.337220883679876</c:v>
                </c:pt>
                <c:pt idx="111">
                  <c:v>62.444926047006803</c:v>
                </c:pt>
                <c:pt idx="112">
                  <c:v>63.561769598718449</c:v>
                </c:pt>
                <c:pt idx="113">
                  <c:v>64.68772470547583</c:v>
                </c:pt>
                <c:pt idx="114">
                  <c:v>65.822764451297246</c:v>
                </c:pt>
                <c:pt idx="115">
                  <c:v>66.966861838245549</c:v>
                </c:pt>
                <c:pt idx="116">
                  <c:v>68.11998978711776</c:v>
                </c:pt>
                <c:pt idx="117">
                  <c:v>69.282121138136816</c:v>
                </c:pt>
                <c:pt idx="118">
                  <c:v>70.453228651645574</c:v>
                </c:pt>
                <c:pt idx="119">
                  <c:v>71.633285008802815</c:v>
                </c:pt>
                <c:pt idx="120">
                  <c:v>72.822262812281238</c:v>
                </c:pt>
                <c:pt idx="121">
                  <c:v>74.020134586967501</c:v>
                </c:pt>
                <c:pt idx="122">
                  <c:v>75.22687278066401</c:v>
                </c:pt>
                <c:pt idx="123">
                  <c:v>76.442449764792599</c:v>
                </c:pt>
                <c:pt idx="124">
                  <c:v>77.666837835099912</c:v>
                </c:pt>
                <c:pt idx="125">
                  <c:v>78.900009212364466</c:v>
                </c:pt>
                <c:pt idx="126">
                  <c:v>80.141936043105346</c:v>
                </c:pt>
                <c:pt idx="127">
                  <c:v>81.392590400292406</c:v>
                </c:pt>
                <c:pt idx="128">
                  <c:v>82.651944284057933</c:v>
                </c:pt>
                <c:pt idx="129">
                  <c:v>83.919969622409795</c:v>
                </c:pt>
                <c:pt idx="130">
                  <c:v>85.196638271945858</c:v>
                </c:pt>
                <c:pt idx="131">
                  <c:v>86.481922018569733</c:v>
                </c:pt>
                <c:pt idx="132">
                  <c:v>87.775792578207728</c:v>
                </c:pt>
                <c:pt idx="133">
                  <c:v>89.07822159752692</c:v>
                </c:pt>
                <c:pt idx="134">
                  <c:v>90.38918065465441</c:v>
                </c:pt>
                <c:pt idx="135">
                  <c:v>91.708641259897504</c:v>
                </c:pt>
                <c:pt idx="136">
                  <c:v>93.036574856464924</c:v>
                </c:pt>
                <c:pt idx="137">
                  <c:v>94.372952821188889</c:v>
                </c:pt>
                <c:pt idx="138">
                  <c:v>95.717746465248098</c:v>
                </c:pt>
                <c:pt idx="139">
                  <c:v>97.070927034891398</c:v>
                </c:pt>
                <c:pt idx="140">
                  <c:v>98.432465712162269</c:v>
                </c:pt>
                <c:pt idx="141">
                  <c:v>99.80233361562388</c:v>
                </c:pt>
                <c:pt idx="142">
                  <c:v>101.18050180108484</c:v>
                </c:pt>
                <c:pt idx="143">
                  <c:v>102.56694126232541</c:v>
                </c:pt>
                <c:pt idx="144">
                  <c:v>103.96162293182422</c:v>
                </c:pt>
                <c:pt idx="145">
                  <c:v>105.36451768148538</c:v>
                </c:pt>
                <c:pt idx="146">
                  <c:v>106.77559632336603</c:v>
                </c:pt>
                <c:pt idx="147">
                  <c:v>108.19482961040408</c:v>
                </c:pt>
                <c:pt idx="148">
                  <c:v>109.62218823714632</c:v>
                </c:pt>
                <c:pt idx="149">
                  <c:v>111.05764284047656</c:v>
                </c:pt>
                <c:pt idx="150">
                  <c:v>112.50116400034405</c:v>
                </c:pt>
                <c:pt idx="151">
                  <c:v>113.95272276739166</c:v>
                </c:pt>
                <c:pt idx="152">
                  <c:v>115.41229119093816</c:v>
                </c:pt>
                <c:pt idx="153">
                  <c:v>116.87984179297801</c:v>
                </c:pt>
                <c:pt idx="154">
                  <c:v>118.35534704179793</c:v>
                </c:pt>
                <c:pt idx="155">
                  <c:v>119.83877935264707</c:v>
                </c:pt>
                <c:pt idx="156">
                  <c:v>121.33011108840719</c:v>
                </c:pt>
                <c:pt idx="157">
                  <c:v>122.8293145602629</c:v>
                </c:pt>
                <c:pt idx="158">
                  <c:v>124.33636202837172</c:v>
                </c:pt>
                <c:pt idx="159">
                  <c:v>125.85122570253425</c:v>
                </c:pt>
                <c:pt idx="160">
                  <c:v>127.37387774286398</c:v>
                </c:pt>
                <c:pt idx="161">
                  <c:v>128.90429026045709</c:v>
                </c:pt>
                <c:pt idx="162">
                  <c:v>130.44243531806183</c:v>
                </c:pt>
                <c:pt idx="163">
                  <c:v>131.98828493074782</c:v>
                </c:pt>
                <c:pt idx="164">
                  <c:v>133.54181106657484</c:v>
                </c:pt>
                <c:pt idx="165">
                  <c:v>135.10298564726125</c:v>
                </c:pt>
                <c:pt idx="166">
                  <c:v>136.6717805488521</c:v>
                </c:pt>
                <c:pt idx="167">
                  <c:v>138.24816760238656</c:v>
                </c:pt>
                <c:pt idx="168">
                  <c:v>139.83211859456503</c:v>
                </c:pt>
                <c:pt idx="169">
                  <c:v>141.42360526841551</c:v>
                </c:pt>
                <c:pt idx="170">
                  <c:v>143.0225993239595</c:v>
                </c:pt>
                <c:pt idx="171">
                  <c:v>144.62907241887703</c:v>
                </c:pt>
                <c:pt idx="172">
                  <c:v>146.24299616917116</c:v>
                </c:pt>
                <c:pt idx="173">
                  <c:v>147.86434214983169</c:v>
                </c:pt>
                <c:pt idx="174">
                  <c:v>149.49308189549794</c:v>
                </c:pt>
                <c:pt idx="175">
                  <c:v>151.12918690112082</c:v>
                </c:pt>
                <c:pt idx="176">
                  <c:v>152.77262862262401</c:v>
                </c:pt>
                <c:pt idx="177">
                  <c:v>154.42337847756406</c:v>
                </c:pt>
                <c:pt idx="178">
                  <c:v>156.08140784578967</c:v>
                </c:pt>
                <c:pt idx="179">
                  <c:v>157.74668807009985</c:v>
                </c:pt>
                <c:pt idx="180">
                  <c:v>159.41919045690108</c:v>
                </c:pt>
                <c:pt idx="181">
                  <c:v>161.09888627686325</c:v>
                </c:pt>
                <c:pt idx="182">
                  <c:v>162.78574676557466</c:v>
                </c:pt>
                <c:pt idx="183">
                  <c:v>164.47974312419555</c:v>
                </c:pt>
                <c:pt idx="184">
                  <c:v>166.18084652011066</c:v>
                </c:pt>
                <c:pt idx="185">
                  <c:v>167.88902808758033</c:v>
                </c:pt>
                <c:pt idx="186">
                  <c:v>169.60425892839038</c:v>
                </c:pt>
                <c:pt idx="187">
                  <c:v>171.32651011250059</c:v>
                </c:pt>
                <c:pt idx="188">
                  <c:v>173.05575267869182</c:v>
                </c:pt>
                <c:pt idx="189">
                  <c:v>174.79195763521167</c:v>
                </c:pt>
                <c:pt idx="190">
                  <c:v>176.53509596041872</c:v>
                </c:pt>
                <c:pt idx="191">
                  <c:v>178.28513860342514</c:v>
                </c:pt>
                <c:pt idx="192">
                  <c:v>180.04205648473786</c:v>
                </c:pt>
                <c:pt idx="193">
                  <c:v>181.80582049689812</c:v>
                </c:pt>
                <c:pt idx="194">
                  <c:v>183.57640150511941</c:v>
                </c:pt>
                <c:pt idx="195">
                  <c:v>185.35377034792367</c:v>
                </c:pt>
                <c:pt idx="196">
                  <c:v>187.13789783777588</c:v>
                </c:pt>
                <c:pt idx="197">
                  <c:v>188.9287547617169</c:v>
                </c:pt>
                <c:pt idx="198">
                  <c:v>190.72631188199449</c:v>
                </c:pt>
                <c:pt idx="199">
                  <c:v>192.53053993669252</c:v>
                </c:pt>
                <c:pt idx="200">
                  <c:v>194.34140964035842</c:v>
                </c:pt>
                <c:pt idx="201">
                  <c:v>196.15889168462871</c:v>
                </c:pt>
                <c:pt idx="202">
                  <c:v>197.98295673885255</c:v>
                </c:pt>
                <c:pt idx="203">
                  <c:v>199.81357545071344</c:v>
                </c:pt>
                <c:pt idx="204">
                  <c:v>201.65071844684888</c:v>
                </c:pt>
                <c:pt idx="205">
                  <c:v>203.49435633346809</c:v>
                </c:pt>
                <c:pt idx="206">
                  <c:v>205.34445969696756</c:v>
                </c:pt>
                <c:pt idx="207">
                  <c:v>207.20099910454465</c:v>
                </c:pt>
                <c:pt idx="208">
                  <c:v>209.06394510480899</c:v>
                </c:pt>
                <c:pt idx="209">
                  <c:v>210.93326822839182</c:v>
                </c:pt>
                <c:pt idx="210">
                  <c:v>212.80893898855305</c:v>
                </c:pt>
                <c:pt idx="211">
                  <c:v>214.69092788178622</c:v>
                </c:pt>
                <c:pt idx="212">
                  <c:v>216.57920538842117</c:v>
                </c:pt>
                <c:pt idx="213">
                  <c:v>218.47374197322449</c:v>
                </c:pt>
                <c:pt idx="214">
                  <c:v>220.3745080859976</c:v>
                </c:pt>
                <c:pt idx="215">
                  <c:v>222.2814741621726</c:v>
                </c:pt>
                <c:pt idx="216">
                  <c:v>224.19461062340571</c:v>
                </c:pt>
                <c:pt idx="217">
                  <c:v>226.11388787816833</c:v>
                </c:pt>
                <c:pt idx="218">
                  <c:v>228.03927632233572</c:v>
                </c:pt>
                <c:pt idx="219">
                  <c:v>229.97074633977329</c:v>
                </c:pt>
                <c:pt idx="220">
                  <c:v>231.90826830292025</c:v>
                </c:pt>
                <c:pt idx="221">
                  <c:v>233.85181257337101</c:v>
                </c:pt>
                <c:pt idx="222">
                  <c:v>235.80134950245395</c:v>
                </c:pt>
                <c:pt idx="223">
                  <c:v>237.75684943180755</c:v>
                </c:pt>
                <c:pt idx="224">
                  <c:v>239.71828269395419</c:v>
                </c:pt>
                <c:pt idx="225">
                  <c:v>241.68561961287116</c:v>
                </c:pt>
                <c:pt idx="226">
                  <c:v>243.65883050455909</c:v>
                </c:pt>
                <c:pt idx="227">
                  <c:v>245.63788567760784</c:v>
                </c:pt>
                <c:pt idx="228">
                  <c:v>247.62275543375966</c:v>
                </c:pt>
                <c:pt idx="229">
                  <c:v>249.61341006846965</c:v>
                </c:pt>
                <c:pt idx="230">
                  <c:v>251.60981987146346</c:v>
                </c:pt>
                <c:pt idx="231">
                  <c:v>253.61195512729248</c:v>
                </c:pt>
                <c:pt idx="232">
                  <c:v>255.61978611588603</c:v>
                </c:pt>
                <c:pt idx="233">
                  <c:v>257.63328311310084</c:v>
                </c:pt>
                <c:pt idx="234">
                  <c:v>259.65241639126788</c:v>
                </c:pt>
                <c:pt idx="235">
                  <c:v>261.6771562197361</c:v>
                </c:pt>
                <c:pt idx="236">
                  <c:v>263.70747286541371</c:v>
                </c:pt>
                <c:pt idx="237">
                  <c:v>265.7433365933062</c:v>
                </c:pt>
                <c:pt idx="238">
                  <c:v>267.78471766705167</c:v>
                </c:pt>
                <c:pt idx="239">
                  <c:v>269.8315863494534</c:v>
                </c:pt>
                <c:pt idx="240">
                  <c:v>271.88391290300927</c:v>
                </c:pt>
                <c:pt idx="241">
                  <c:v>273.94166759043844</c:v>
                </c:pt>
                <c:pt idx="242">
                  <c:v>276.00482067520483</c:v>
                </c:pt>
                <c:pt idx="243">
                  <c:v>278.07334242203791</c:v>
                </c:pt>
                <c:pt idx="244">
                  <c:v>280.14720309745042</c:v>
                </c:pt>
                <c:pt idx="245">
                  <c:v>282.22637297025284</c:v>
                </c:pt>
                <c:pt idx="246">
                  <c:v>284.3108223120654</c:v>
                </c:pt>
                <c:pt idx="247">
                  <c:v>286.40052139782637</c:v>
                </c:pt>
                <c:pt idx="248">
                  <c:v>288.49544050629777</c:v>
                </c:pt>
                <c:pt idx="249">
                  <c:v>290.59554992056798</c:v>
                </c:pt>
                <c:pt idx="250">
                  <c:v>292.70081992855108</c:v>
                </c:pt>
                <c:pt idx="251">
                  <c:v>294.81121853091122</c:v>
                </c:pt>
                <c:pt idx="252">
                  <c:v>296.92670914982585</c:v>
                </c:pt>
                <c:pt idx="253">
                  <c:v>299.04725292562813</c:v>
                </c:pt>
                <c:pt idx="254">
                  <c:v>301.1728110126997</c:v>
                </c:pt>
                <c:pt idx="255">
                  <c:v>303.30334458014386</c:v>
                </c:pt>
                <c:pt idx="256">
                  <c:v>305.43881481245364</c:v>
                </c:pt>
                <c:pt idx="257">
                  <c:v>307.5791829101745</c:v>
                </c:pt>
                <c:pt idx="258">
                  <c:v>309.72441009056178</c:v>
                </c:pt>
                <c:pt idx="259">
                  <c:v>311.87445758823276</c:v>
                </c:pt>
                <c:pt idx="260">
                  <c:v>314.02928665581362</c:v>
                </c:pt>
                <c:pt idx="261">
                  <c:v>316.1888585645807</c:v>
                </c:pt>
                <c:pt idx="262">
                  <c:v>318.35313460509673</c:v>
                </c:pt>
                <c:pt idx="263">
                  <c:v>320.52207608784158</c:v>
                </c:pt>
                <c:pt idx="264">
                  <c:v>322.69564434383773</c:v>
                </c:pt>
                <c:pt idx="265">
                  <c:v>324.87380072527014</c:v>
                </c:pt>
                <c:pt idx="266">
                  <c:v>327.05650660610087</c:v>
                </c:pt>
                <c:pt idx="267">
                  <c:v>329.24372338267841</c:v>
                </c:pt>
                <c:pt idx="268">
                  <c:v>331.43541247434138</c:v>
                </c:pt>
                <c:pt idx="269">
                  <c:v>333.63153532401702</c:v>
                </c:pt>
                <c:pt idx="270">
                  <c:v>335.83205339881414</c:v>
                </c:pt>
                <c:pt idx="271">
                  <c:v>338.03692819061052</c:v>
                </c:pt>
                <c:pt idx="272">
                  <c:v>340.24612121663523</c:v>
                </c:pt>
                <c:pt idx="273">
                  <c:v>342.45959402004507</c:v>
                </c:pt>
                <c:pt idx="274">
                  <c:v>344.67730817049608</c:v>
                </c:pt>
                <c:pt idx="275">
                  <c:v>346.89922526470895</c:v>
                </c:pt>
                <c:pt idx="276">
                  <c:v>349.12530692702967</c:v>
                </c:pt>
                <c:pt idx="277">
                  <c:v>351.35551480998419</c:v>
                </c:pt>
                <c:pt idx="278">
                  <c:v>353.58981059482784</c:v>
                </c:pt>
                <c:pt idx="279">
                  <c:v>355.82815599208931</c:v>
                </c:pt>
                <c:pt idx="280">
                  <c:v>358.0705127421092</c:v>
                </c:pt>
                <c:pt idx="281">
                  <c:v>360.31684261557291</c:v>
                </c:pt>
                <c:pt idx="282">
                  <c:v>362.56710741403822</c:v>
                </c:pt>
                <c:pt idx="283">
                  <c:v>364.82126897045742</c:v>
                </c:pt>
                <c:pt idx="284">
                  <c:v>367.07928914969403</c:v>
                </c:pt>
                <c:pt idx="285">
                  <c:v>369.34112984903385</c:v>
                </c:pt>
                <c:pt idx="286">
                  <c:v>371.60675299869064</c:v>
                </c:pt>
                <c:pt idx="287">
                  <c:v>373.8761205623066</c:v>
                </c:pt>
                <c:pt idx="288">
                  <c:v>376.14919453744699</c:v>
                </c:pt>
                <c:pt idx="289">
                  <c:v>378.42593695608957</c:v>
                </c:pt>
                <c:pt idx="290">
                  <c:v>380.70630988510851</c:v>
                </c:pt>
                <c:pt idx="291">
                  <c:v>382.99027542675299</c:v>
                </c:pt>
                <c:pt idx="292">
                  <c:v>385.27779571912009</c:v>
                </c:pt>
                <c:pt idx="293">
                  <c:v>387.56883293662253</c:v>
                </c:pt>
                <c:pt idx="294">
                  <c:v>389.8633492904508</c:v>
                </c:pt>
                <c:pt idx="295">
                  <c:v>392.16130702903013</c:v>
                </c:pt>
                <c:pt idx="296">
                  <c:v>394.46266843847172</c:v>
                </c:pt>
                <c:pt idx="297">
                  <c:v>396.76739584301885</c:v>
                </c:pt>
                <c:pt idx="298">
                  <c:v>399.07542636391133</c:v>
                </c:pt>
                <c:pt idx="299">
                  <c:v>401.3866467005185</c:v>
                </c:pt>
                <c:pt idx="300">
                  <c:v>403.70091843431464</c:v>
                </c:pt>
                <c:pt idx="301">
                  <c:v>406.01810331214421</c:v>
                </c:pt>
                <c:pt idx="302">
                  <c:v>408.33806324974847</c:v>
                </c:pt>
                <c:pt idx="303">
                  <c:v>410.6606603352285</c:v>
                </c:pt>
                <c:pt idx="304">
                  <c:v>412.98575683244439</c:v>
                </c:pt>
                <c:pt idx="305">
                  <c:v>415.31321518435101</c:v>
                </c:pt>
                <c:pt idx="306">
                  <c:v>417.6428980162699</c:v>
                </c:pt>
                <c:pt idx="307">
                  <c:v>419.97466813909784</c:v>
                </c:pt>
                <c:pt idx="308">
                  <c:v>422.3083885524523</c:v>
                </c:pt>
                <c:pt idx="309">
                  <c:v>424.64392244775337</c:v>
                </c:pt>
                <c:pt idx="310">
                  <c:v>426.98113321124271</c:v>
                </c:pt>
                <c:pt idx="311">
                  <c:v>429.31988442693984</c:v>
                </c:pt>
                <c:pt idx="312">
                  <c:v>431.66003987953536</c:v>
                </c:pt>
                <c:pt idx="313">
                  <c:v>434.00146355722188</c:v>
                </c:pt>
                <c:pt idx="314">
                  <c:v>436.34401965446256</c:v>
                </c:pt>
                <c:pt idx="315">
                  <c:v>438.68757257469724</c:v>
                </c:pt>
                <c:pt idx="316">
                  <c:v>441.03198693298702</c:v>
                </c:pt>
                <c:pt idx="317">
                  <c:v>443.37712755859684</c:v>
                </c:pt>
                <c:pt idx="318">
                  <c:v>445.72285949751665</c:v>
                </c:pt>
                <c:pt idx="319">
                  <c:v>448.06904801492141</c:v>
                </c:pt>
                <c:pt idx="320">
                  <c:v>450.41555859756994</c:v>
                </c:pt>
                <c:pt idx="321">
                  <c:v>452.7622670037851</c:v>
                </c:pt>
                <c:pt idx="322">
                  <c:v>455.10906929779424</c:v>
                </c:pt>
                <c:pt idx="323">
                  <c:v>457.45587176938403</c:v>
                </c:pt>
                <c:pt idx="324">
                  <c:v>459.80258086848056</c:v>
                </c:pt>
                <c:pt idx="325">
                  <c:v>462.14910320607339</c:v>
                </c:pt>
                <c:pt idx="326">
                  <c:v>464.49534555511127</c:v>
                </c:pt>
                <c:pt idx="327">
                  <c:v>466.84121485136887</c:v>
                </c:pt>
                <c:pt idx="328">
                  <c:v>469.18661819428553</c:v>
                </c:pt>
                <c:pt idx="329">
                  <c:v>471.53146284777546</c:v>
                </c:pt>
                <c:pt idx="330">
                  <c:v>473.87565624100995</c:v>
                </c:pt>
                <c:pt idx="331">
                  <c:v>476.21910596917178</c:v>
                </c:pt>
                <c:pt idx="332">
                  <c:v>478.56171979418207</c:v>
                </c:pt>
                <c:pt idx="333">
                  <c:v>480.90340564539929</c:v>
                </c:pt>
                <c:pt idx="334">
                  <c:v>483.24407162029132</c:v>
                </c:pt>
                <c:pt idx="335">
                  <c:v>485.58362598508029</c:v>
                </c:pt>
                <c:pt idx="336">
                  <c:v>487.92197717536033</c:v>
                </c:pt>
                <c:pt idx="337">
                  <c:v>490.25903379668893</c:v>
                </c:pt>
                <c:pt idx="338">
                  <c:v>492.59470462515151</c:v>
                </c:pt>
                <c:pt idx="339">
                  <c:v>494.92889860789978</c:v>
                </c:pt>
                <c:pt idx="340">
                  <c:v>497.26152486366402</c:v>
                </c:pt>
                <c:pt idx="341">
                  <c:v>499.59249268323924</c:v>
                </c:pt>
                <c:pt idx="342">
                  <c:v>501.92171152994592</c:v>
                </c:pt>
                <c:pt idx="343">
                  <c:v>504.24909104006497</c:v>
                </c:pt>
                <c:pt idx="344">
                  <c:v>506.57454102324749</c:v>
                </c:pt>
                <c:pt idx="345">
                  <c:v>508.89797146289942</c:v>
                </c:pt>
                <c:pt idx="346">
                  <c:v>511.21929251654126</c:v>
                </c:pt>
                <c:pt idx="347">
                  <c:v>513.53841451614312</c:v>
                </c:pt>
                <c:pt idx="348">
                  <c:v>515.85524905241698</c:v>
                </c:pt>
                <c:pt idx="349">
                  <c:v>518.1697100568997</c:v>
                </c:pt>
                <c:pt idx="350">
                  <c:v>520.4817127137527</c:v>
                </c:pt>
                <c:pt idx="351">
                  <c:v>522.79117237369076</c:v>
                </c:pt>
                <c:pt idx="352">
                  <c:v>525.09800455413438</c:v>
                </c:pt>
                <c:pt idx="353">
                  <c:v>527.40212493934087</c:v>
                </c:pt>
                <c:pt idx="354">
                  <c:v>529.7034493805146</c:v>
                </c:pt>
                <c:pt idx="355">
                  <c:v>532.00189389589696</c:v>
                </c:pt>
                <c:pt idx="356">
                  <c:v>534.29737467083555</c:v>
                </c:pt>
                <c:pt idx="357">
                  <c:v>536.58980805783335</c:v>
                </c:pt>
                <c:pt idx="358">
                  <c:v>538.87911057657732</c:v>
                </c:pt>
                <c:pt idx="359">
                  <c:v>541.16519891394796</c:v>
                </c:pt>
                <c:pt idx="360">
                  <c:v>543.44801246697205</c:v>
                </c:pt>
                <c:pt idx="361">
                  <c:v>545.72753583676149</c:v>
                </c:pt>
                <c:pt idx="362">
                  <c:v>548.00377618798007</c:v>
                </c:pt>
                <c:pt idx="363">
                  <c:v>550.27674065739689</c:v>
                </c:pt>
                <c:pt idx="364">
                  <c:v>552.5464363540309</c:v>
                </c:pt>
                <c:pt idx="365">
                  <c:v>554.81287035929472</c:v>
                </c:pt>
                <c:pt idx="366">
                  <c:v>557.07604972713705</c:v>
                </c:pt>
                <c:pt idx="367">
                  <c:v>559.33598148418446</c:v>
                </c:pt>
                <c:pt idx="368">
                  <c:v>561.59267262988249</c:v>
                </c:pt>
                <c:pt idx="369">
                  <c:v>563.84613013663511</c:v>
                </c:pt>
                <c:pt idx="370">
                  <c:v>566.09636094994414</c:v>
                </c:pt>
                <c:pt idx="371">
                  <c:v>568.34337198854701</c:v>
                </c:pt>
                <c:pt idx="372">
                  <c:v>570.58717014455419</c:v>
                </c:pt>
                <c:pt idx="373">
                  <c:v>572.82776228358534</c:v>
                </c:pt>
                <c:pt idx="374">
                  <c:v>575.06515524490487</c:v>
                </c:pt>
                <c:pt idx="375">
                  <c:v>577.29935584155646</c:v>
                </c:pt>
                <c:pt idx="376">
                  <c:v>579.53037086049665</c:v>
                </c:pt>
                <c:pt idx="377">
                  <c:v>581.75820706272771</c:v>
                </c:pt>
                <c:pt idx="378">
                  <c:v>583.98287118342989</c:v>
                </c:pt>
                <c:pt idx="379">
                  <c:v>586.20436993209216</c:v>
                </c:pt>
                <c:pt idx="380">
                  <c:v>588.42270999264269</c:v>
                </c:pt>
                <c:pt idx="381">
                  <c:v>590.63789802357837</c:v>
                </c:pt>
                <c:pt idx="382">
                  <c:v>592.84994065809326</c:v>
                </c:pt>
                <c:pt idx="383">
                  <c:v>595.0588445042066</c:v>
                </c:pt>
                <c:pt idx="384">
                  <c:v>597.26461614488971</c:v>
                </c:pt>
                <c:pt idx="385">
                  <c:v>599.46726213819215</c:v>
                </c:pt>
                <c:pt idx="386">
                  <c:v>601.66678901736714</c:v>
                </c:pt>
                <c:pt idx="387">
                  <c:v>603.86320329099613</c:v>
                </c:pt>
                <c:pt idx="388">
                  <c:v>606.05651144311264</c:v>
                </c:pt>
                <c:pt idx="389">
                  <c:v>608.24671993332538</c:v>
                </c:pt>
                <c:pt idx="390">
                  <c:v>610.43383519694021</c:v>
                </c:pt>
                <c:pt idx="391">
                  <c:v>612.6178636450818</c:v>
                </c:pt>
                <c:pt idx="392">
                  <c:v>614.79881166481437</c:v>
                </c:pt>
                <c:pt idx="393">
                  <c:v>616.97668561926162</c:v>
                </c:pt>
                <c:pt idx="394">
                  <c:v>619.15149184772565</c:v>
                </c:pt>
                <c:pt idx="395">
                  <c:v>621.32323666580578</c:v>
                </c:pt>
                <c:pt idx="396">
                  <c:v>623.49192636551595</c:v>
                </c:pt>
                <c:pt idx="397">
                  <c:v>625.65756721540185</c:v>
                </c:pt>
                <c:pt idx="398">
                  <c:v>627.82016546065722</c:v>
                </c:pt>
                <c:pt idx="399">
                  <c:v>629.9797273232391</c:v>
                </c:pt>
                <c:pt idx="400">
                  <c:v>632.13625900198269</c:v>
                </c:pt>
                <c:pt idx="401">
                  <c:v>653.53539404675041</c:v>
                </c:pt>
                <c:pt idx="402">
                  <c:v>674.63548225065961</c:v>
                </c:pt>
                <c:pt idx="403">
                  <c:v>695.4425041369102</c:v>
                </c:pt>
                <c:pt idx="404">
                  <c:v>715.96222361986725</c:v>
                </c:pt>
                <c:pt idx="405">
                  <c:v>736.20019831701836</c:v>
                </c:pt>
                <c:pt idx="406">
                  <c:v>756.16178924676285</c:v>
                </c:pt>
                <c:pt idx="407">
                  <c:v>775.85216995563576</c:v>
                </c:pt>
                <c:pt idx="408">
                  <c:v>795.27633511498607</c:v>
                </c:pt>
                <c:pt idx="409">
                  <c:v>814.43910862387588</c:v>
                </c:pt>
                <c:pt idx="410">
                  <c:v>833.3451512520146</c:v>
                </c:pt>
                <c:pt idx="411">
                  <c:v>851.99896785385999</c:v>
                </c:pt>
                <c:pt idx="412">
                  <c:v>870.40491418257523</c:v>
                </c:pt>
                <c:pt idx="413">
                  <c:v>888.56720333030694</c:v>
                </c:pt>
                <c:pt idx="414">
                  <c:v>906.48991181921906</c:v>
                </c:pt>
                <c:pt idx="415">
                  <c:v>924.17698536586602</c:v>
                </c:pt>
                <c:pt idx="416">
                  <c:v>941.63224433979383</c:v>
                </c:pt>
                <c:pt idx="417">
                  <c:v>958.85938893571051</c:v>
                </c:pt>
                <c:pt idx="418">
                  <c:v>975.86200407714568</c:v>
                </c:pt>
                <c:pt idx="419">
                  <c:v>992.64356406822026</c:v>
                </c:pt>
                <c:pt idx="420">
                  <c:v>1009.2074370089531</c:v>
                </c:pt>
                <c:pt idx="421">
                  <c:v>1025.556888988435</c:v>
                </c:pt>
                <c:pt idx="422">
                  <c:v>1041.6950880691913</c:v>
                </c:pt>
                <c:pt idx="423">
                  <c:v>1057.6251080751292</c:v>
                </c:pt>
                <c:pt idx="424">
                  <c:v>1073.3499321946092</c:v>
                </c:pt>
                <c:pt idx="425">
                  <c:v>1088.8724564093955</c:v>
                </c:pt>
                <c:pt idx="426">
                  <c:v>1104.1954927595093</c:v>
                </c:pt>
                <c:pt idx="427">
                  <c:v>1119.3217724533451</c:v>
                </c:pt>
                <c:pt idx="428">
                  <c:v>1134.2539488317827</c:v>
                </c:pt>
                <c:pt idx="429">
                  <c:v>1148.9946001944597</c:v>
                </c:pt>
                <c:pt idx="430">
                  <c:v>1163.5462324958387</c:v>
                </c:pt>
                <c:pt idx="431">
                  <c:v>1177.9112819182071</c:v>
                </c:pt>
                <c:pt idx="432">
                  <c:v>1192.0921173282998</c:v>
                </c:pt>
                <c:pt idx="433">
                  <c:v>1206.0910426238049</c:v>
                </c:pt>
                <c:pt idx="434">
                  <c:v>1219.9102989756268</c:v>
                </c:pt>
                <c:pt idx="435">
                  <c:v>1233.5520669714122</c:v>
                </c:pt>
                <c:pt idx="436">
                  <c:v>1247.0184686655082</c:v>
                </c:pt>
                <c:pt idx="437">
                  <c:v>1260.311569540208</c:v>
                </c:pt>
                <c:pt idx="438">
                  <c:v>1273.4333803828417</c:v>
                </c:pt>
                <c:pt idx="439">
                  <c:v>1286.3858590830041</c:v>
                </c:pt>
                <c:pt idx="440">
                  <c:v>1299.1709123539486</c:v>
                </c:pt>
                <c:pt idx="441">
                  <c:v>1311.7903973819464</c:v>
                </c:pt>
                <c:pt idx="442">
                  <c:v>1324.2461234071841</c:v>
                </c:pt>
                <c:pt idx="443">
                  <c:v>1336.5398532395679</c:v>
                </c:pt>
                <c:pt idx="444">
                  <c:v>1348.6733047126083</c:v>
                </c:pt>
                <c:pt idx="445">
                  <c:v>1360.64815207838</c:v>
                </c:pt>
                <c:pt idx="446">
                  <c:v>1372.4660273463821</c:v>
                </c:pt>
                <c:pt idx="447">
                  <c:v>1384.1285215689654</c:v>
                </c:pt>
                <c:pt idx="448">
                  <c:v>1395.6371860758452</c:v>
                </c:pt>
                <c:pt idx="449">
                  <c:v>1406.9935336600806</c:v>
                </c:pt>
                <c:pt idx="450">
                  <c:v>1418.1990397177699</c:v>
                </c:pt>
                <c:pt idx="451">
                  <c:v>1429.2551433435904</c:v>
                </c:pt>
                <c:pt idx="452">
                  <c:v>1440.1632483841963</c:v>
                </c:pt>
                <c:pt idx="453">
                  <c:v>1450.9247244513811</c:v>
                </c:pt>
                <c:pt idx="454">
                  <c:v>1461.5409078968084</c:v>
                </c:pt>
                <c:pt idx="455">
                  <c:v>1472.0131027500249</c:v>
                </c:pt>
                <c:pt idx="456">
                  <c:v>1482.3425816213714</c:v>
                </c:pt>
                <c:pt idx="457">
                  <c:v>1492.5305865713342</c:v>
                </c:pt>
                <c:pt idx="458">
                  <c:v>1502.5783299477914</c:v>
                </c:pt>
                <c:pt idx="459">
                  <c:v>1512.4869951925396</c:v>
                </c:pt>
                <c:pt idx="460">
                  <c:v>1522.257737618414</c:v>
                </c:pt>
                <c:pt idx="461">
                  <c:v>1531.8916851582489</c:v>
                </c:pt>
                <c:pt idx="462">
                  <c:v>1541.3899390868651</c:v>
                </c:pt>
                <c:pt idx="463">
                  <c:v>1550.7535747172094</c:v>
                </c:pt>
                <c:pt idx="464">
                  <c:v>1559.9836420717181</c:v>
                </c:pt>
                <c:pt idx="465">
                  <c:v>1569.0811665299216</c:v>
                </c:pt>
                <c:pt idx="466">
                  <c:v>1578.047149453261</c:v>
                </c:pt>
                <c:pt idx="467">
                  <c:v>1586.8825687880378</c:v>
                </c:pt>
                <c:pt idx="468">
                  <c:v>1595.5883796473747</c:v>
                </c:pt>
                <c:pt idx="469">
                  <c:v>1604.1655148730251</c:v>
                </c:pt>
                <c:pt idx="470">
                  <c:v>1612.6148855778265</c:v>
                </c:pt>
                <c:pt idx="471">
                  <c:v>1620.9373816695575</c:v>
                </c:pt>
                <c:pt idx="472">
                  <c:v>1629.1338723569229</c:v>
                </c:pt>
                <c:pt idx="473">
                  <c:v>1637.2052066383576</c:v>
                </c:pt>
                <c:pt idx="474">
                  <c:v>1645.1522137743054</c:v>
                </c:pt>
                <c:pt idx="475">
                  <c:v>1652.9757037436036</c:v>
                </c:pt>
                <c:pt idx="476">
                  <c:v>1660.6764676845719</c:v>
                </c:pt>
                <c:pt idx="477">
                  <c:v>1668.2552783213789</c:v>
                </c:pt>
                <c:pt idx="478">
                  <c:v>1675.7128903762325</c:v>
                </c:pt>
                <c:pt idx="479">
                  <c:v>1683.0500409679162</c:v>
                </c:pt>
                <c:pt idx="480">
                  <c:v>1690.2674499971729</c:v>
                </c:pt>
                <c:pt idx="481">
                  <c:v>1697.3658205194104</c:v>
                </c:pt>
                <c:pt idx="482">
                  <c:v>1704.3458391051872</c:v>
                </c:pt>
                <c:pt idx="483">
                  <c:v>1711.2081761889158</c:v>
                </c:pt>
                <c:pt idx="484">
                  <c:v>1717.9534864061973</c:v>
                </c:pt>
                <c:pt idx="485">
                  <c:v>1724.5824089201926</c:v>
                </c:pt>
                <c:pt idx="486">
                  <c:v>1731.0955677374084</c:v>
                </c:pt>
                <c:pt idx="487">
                  <c:v>1737.4935720132667</c:v>
                </c:pt>
                <c:pt idx="488">
                  <c:v>1743.7770163478096</c:v>
                </c:pt>
                <c:pt idx="489">
                  <c:v>1749.9464810718737</c:v>
                </c:pt>
                <c:pt idx="490">
                  <c:v>1756.0025325240588</c:v>
                </c:pt>
                <c:pt idx="491">
                  <c:v>1761.9457233188</c:v>
                </c:pt>
                <c:pt idx="492">
                  <c:v>1767.7765926058394</c:v>
                </c:pt>
                <c:pt idx="493">
                  <c:v>1773.4956663213836</c:v>
                </c:pt>
                <c:pt idx="494">
                  <c:v>1779.1034574312209</c:v>
                </c:pt>
                <c:pt idx="495">
                  <c:v>1784.6004661660593</c:v>
                </c:pt>
                <c:pt idx="496">
                  <c:v>1789.9871802493417</c:v>
                </c:pt>
                <c:pt idx="497">
                  <c:v>1795.2640751177805</c:v>
                </c:pt>
                <c:pt idx="498">
                  <c:v>1800.4316141348445</c:v>
                </c:pt>
                <c:pt idx="499">
                  <c:v>1805.4902487974282</c:v>
                </c:pt>
                <c:pt idx="500">
                  <c:v>1810.4404189359184</c:v>
                </c:pt>
                <c:pt idx="501">
                  <c:v>1815.2825529078721</c:v>
                </c:pt>
                <c:pt idx="502">
                  <c:v>1820.0170677855076</c:v>
                </c:pt>
                <c:pt idx="503">
                  <c:v>1824.6443695372097</c:v>
                </c:pt>
                <c:pt idx="504">
                  <c:v>1829.1648532032395</c:v>
                </c:pt>
                <c:pt idx="505">
                  <c:v>1833.5789030658382</c:v>
                </c:pt>
                <c:pt idx="506">
                  <c:v>1837.8868928139068</c:v>
                </c:pt>
                <c:pt idx="507">
                  <c:v>1842.0891857024446</c:v>
                </c:pt>
                <c:pt idx="508">
                  <c:v>1846.1861347069193</c:v>
                </c:pt>
                <c:pt idx="509">
                  <c:v>1850.1780826727481</c:v>
                </c:pt>
                <c:pt idx="510">
                  <c:v>1854.0653624600616</c:v>
                </c:pt>
                <c:pt idx="511">
                  <c:v>1857.8482970839252</c:v>
                </c:pt>
                <c:pt idx="512">
                  <c:v>1861.5271998501953</c:v>
                </c:pt>
                <c:pt idx="513">
                  <c:v>1865.1023744871854</c:v>
                </c:pt>
                <c:pt idx="514">
                  <c:v>1868.5741152733283</c:v>
                </c:pt>
                <c:pt idx="515">
                  <c:v>1871.942707161021</c:v>
                </c:pt>
                <c:pt idx="516">
                  <c:v>1875.2084258968514</c:v>
                </c:pt>
                <c:pt idx="517">
                  <c:v>1878.3715381384143</c:v>
                </c:pt>
                <c:pt idx="518">
                  <c:v>1881.4323015679408</c:v>
                </c:pt>
                <c:pt idx="519">
                  <c:v>1884.3909650029818</c:v>
                </c:pt>
                <c:pt idx="520">
                  <c:v>1887.2477685044103</c:v>
                </c:pt>
                <c:pt idx="521">
                  <c:v>1890.0029434820349</c:v>
                </c:pt>
                <c:pt idx="522">
                  <c:v>1892.6567127981516</c:v>
                </c:pt>
                <c:pt idx="523">
                  <c:v>1895.2092908694053</c:v>
                </c:pt>
                <c:pt idx="524">
                  <c:v>1897.6608837673834</c:v>
                </c:pt>
                <c:pt idx="525">
                  <c:v>1900.011689318432</c:v>
                </c:pt>
                <c:pt idx="526">
                  <c:v>1902.2618972032606</c:v>
                </c:pt>
                <c:pt idx="527">
                  <c:v>1904.4116890570019</c:v>
                </c:pt>
                <c:pt idx="528">
                  <c:v>1906.4612385705093</c:v>
                </c:pt>
                <c:pt idx="529">
                  <c:v>1908.4107115938189</c:v>
                </c:pt>
                <c:pt idx="530">
                  <c:v>1910.260266242879</c:v>
                </c:pt>
                <c:pt idx="531">
                  <c:v>1912.0100530108571</c:v>
                </c:pt>
                <c:pt idx="532">
                  <c:v>1913.6602148855902</c:v>
                </c:pt>
                <c:pt idx="533">
                  <c:v>1915.2108874750452</c:v>
                </c:pt>
                <c:pt idx="534">
                  <c:v>1916.6621991430081</c:v>
                </c:pt>
                <c:pt idx="535">
                  <c:v>1918.0142711576364</c:v>
                </c:pt>
                <c:pt idx="536">
                  <c:v>1919.2672178559733</c:v>
                </c:pt>
                <c:pt idx="537">
                  <c:v>1920.421146828048</c:v>
                </c:pt>
                <c:pt idx="538">
                  <c:v>1921.47615912473</c:v>
                </c:pt>
                <c:pt idx="539">
                  <c:v>1922.4323494940593</c:v>
                </c:pt>
                <c:pt idx="540">
                  <c:v>1923.2898066512682</c:v>
                </c:pt>
                <c:pt idx="541">
                  <c:v>1924.0486135880608</c:v>
                </c:pt>
                <c:pt idx="542">
                  <c:v>1924.7088479268193</c:v>
                </c:pt>
                <c:pt idx="543">
                  <c:v>1925.2705823251067</c:v>
                </c:pt>
                <c:pt idx="544">
                  <c:v>1925.7338849349876</c:v>
                </c:pt>
                <c:pt idx="545">
                  <c:v>1926.098819920139</c:v>
                </c:pt>
                <c:pt idx="546">
                  <c:v>1926.3654480313908</c:v>
                </c:pt>
                <c:pt idx="547">
                  <c:v>1926.5338272382439</c:v>
                </c:pt>
                <c:pt idx="548">
                  <c:v>1926.6040134102664</c:v>
                </c:pt>
                <c:pt idx="549">
                  <c:v>1926.5760610384211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B-6442-AFEC-07E56791BA28}"/>
            </c:ext>
          </c:extLst>
        </c:ser>
        <c:ser>
          <c:idx val="6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Trajecto!$D$155</c:f>
              <c:numCache>
                <c:formatCode>0</c:formatCode>
                <c:ptCount val="1"/>
                <c:pt idx="0">
                  <c:v>81.194205127456698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963.22501199144335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B-6442-AFEC-07E56791BA28}"/>
            </c:ext>
          </c:extLst>
        </c:ser>
        <c:ser>
          <c:idx val="7"/>
          <c:order val="6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Trajecto!$D$156</c:f>
              <c:numCache>
                <c:formatCode>0</c:formatCode>
                <c:ptCount val="1"/>
                <c:pt idx="0">
                  <c:v>486.3915986849367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963.30200670513318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3B-6442-AFEC-07E56791BA28}"/>
            </c:ext>
          </c:extLst>
        </c:ser>
        <c:ser>
          <c:idx val="8"/>
          <c:order val="7"/>
          <c:tx>
            <c:strRef>
              <c:f>Trajecto!$D$158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8"/>
              <c:tx>
                <c:strRef>
                  <c:f>Trajecto!$D$158</c:f>
                  <c:strCache>
                    <c:ptCount val="1"/>
                    <c:pt idx="0">
                      <c:v>Arc de triomphe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{94910650-EF71-4936-AF7D-7632BACC0953}</c15:txfldGUID>
                      <c15:f>Trajecto!$D$158</c15:f>
                      <c15:dlblFieldTableCache>
                        <c:ptCount val="1"/>
                        <c:pt idx="0">
                          <c:v>Arc de triomphe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Trajecto!$D$159:$D$174</c:f>
              <c:numCache>
                <c:formatCode>0</c:formatCode>
                <c:ptCount val="16"/>
                <c:pt idx="0">
                  <c:v>321.92176497922156</c:v>
                </c:pt>
                <c:pt idx="1">
                  <c:v>344.92176497922156</c:v>
                </c:pt>
                <c:pt idx="2">
                  <c:v>344.92176497922156</c:v>
                </c:pt>
                <c:pt idx="3">
                  <c:v>321.92176497922156</c:v>
                </c:pt>
                <c:pt idx="4">
                  <c:v>344.92176497922156</c:v>
                </c:pt>
                <c:pt idx="5">
                  <c:v>344.92176497922156</c:v>
                </c:pt>
                <c:pt idx="6">
                  <c:v>329.92176497922156</c:v>
                </c:pt>
                <c:pt idx="7">
                  <c:v>329.92176497922156</c:v>
                </c:pt>
                <c:pt idx="8">
                  <c:v>344.92176497922156</c:v>
                </c:pt>
                <c:pt idx="9">
                  <c:v>329.92176497922156</c:v>
                </c:pt>
                <c:pt idx="10">
                  <c:v>329.52176497922159</c:v>
                </c:pt>
                <c:pt idx="11">
                  <c:v>328.72176497922158</c:v>
                </c:pt>
                <c:pt idx="12">
                  <c:v>327.92176497922156</c:v>
                </c:pt>
                <c:pt idx="13">
                  <c:v>326.92176497922156</c:v>
                </c:pt>
                <c:pt idx="14">
                  <c:v>325.72176497922158</c:v>
                </c:pt>
                <c:pt idx="15">
                  <c:v>321.92176497922156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3B-6442-AFEC-07E56791BA28}"/>
            </c:ext>
          </c:extLst>
        </c:ser>
        <c:ser>
          <c:idx val="9"/>
          <c:order val="8"/>
          <c:tx>
            <c:strRef>
              <c:f>Trajecto!$F$158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Trajecto!$F$159:$F$174</c:f>
              <c:numCache>
                <c:formatCode>0</c:formatCode>
                <c:ptCount val="16"/>
                <c:pt idx="0">
                  <c:v>321.92176497922156</c:v>
                </c:pt>
                <c:pt idx="1">
                  <c:v>298.92176497922156</c:v>
                </c:pt>
                <c:pt idx="2">
                  <c:v>298.92176497922156</c:v>
                </c:pt>
                <c:pt idx="3">
                  <c:v>321.92176497922156</c:v>
                </c:pt>
                <c:pt idx="4">
                  <c:v>298.92176497922156</c:v>
                </c:pt>
                <c:pt idx="5">
                  <c:v>298.92176497922156</c:v>
                </c:pt>
                <c:pt idx="6">
                  <c:v>313.92176497922156</c:v>
                </c:pt>
                <c:pt idx="7">
                  <c:v>313.92176497922156</c:v>
                </c:pt>
                <c:pt idx="8">
                  <c:v>298.92176497922156</c:v>
                </c:pt>
                <c:pt idx="9">
                  <c:v>313.92176497922156</c:v>
                </c:pt>
                <c:pt idx="10">
                  <c:v>314.32176497922154</c:v>
                </c:pt>
                <c:pt idx="11">
                  <c:v>315.12176497922155</c:v>
                </c:pt>
                <c:pt idx="12">
                  <c:v>315.92176497922156</c:v>
                </c:pt>
                <c:pt idx="13">
                  <c:v>316.92176497922156</c:v>
                </c:pt>
                <c:pt idx="14">
                  <c:v>318.12176497922155</c:v>
                </c:pt>
                <c:pt idx="15">
                  <c:v>321.92176497922156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3B-6442-AFEC-07E56791BA28}"/>
            </c:ext>
          </c:extLst>
        </c:ser>
        <c:ser>
          <c:idx val="10"/>
          <c:order val="9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6"/>
              <c:tx>
                <c:strRef>
                  <c:f>Trajecto!$D$176</c:f>
                  <c:strCache>
                    <c:ptCount val="1"/>
                    <c:pt idx="0">
                      <c:v>Tour Eiffel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{B9E9BB1A-5907-43C5-B587-72C0156DE8BF}</c15:txfldGUID>
                      <c15:f>Trajecto!$D$176</c15:f>
                      <c15:dlblFieldTableCache>
                        <c:ptCount val="1"/>
                        <c:pt idx="0">
                          <c:v>Tour Eiffel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Trajecto!$D$177:$D$193</c:f>
              <c:numCache>
                <c:formatCode>0</c:formatCode>
                <c:ptCount val="17"/>
                <c:pt idx="0">
                  <c:v>321.92176497922156</c:v>
                </c:pt>
                <c:pt idx="1">
                  <c:v>321.92176497922156</c:v>
                </c:pt>
                <c:pt idx="2">
                  <c:v>331.92176497922156</c:v>
                </c:pt>
                <c:pt idx="3">
                  <c:v>321.92176497922156</c:v>
                </c:pt>
                <c:pt idx="4">
                  <c:v>331.92176497922156</c:v>
                </c:pt>
                <c:pt idx="5">
                  <c:v>334.92176497922156</c:v>
                </c:pt>
                <c:pt idx="6">
                  <c:v>338.92176497922156</c:v>
                </c:pt>
                <c:pt idx="7">
                  <c:v>341.92176497922156</c:v>
                </c:pt>
                <c:pt idx="8">
                  <c:v>346.92176497922156</c:v>
                </c:pt>
                <c:pt idx="9">
                  <c:v>351.92176497922156</c:v>
                </c:pt>
                <c:pt idx="10">
                  <c:v>357.92176497922156</c:v>
                </c:pt>
                <c:pt idx="11">
                  <c:v>369.92176497922156</c:v>
                </c:pt>
                <c:pt idx="12">
                  <c:v>383.92176497922156</c:v>
                </c:pt>
                <c:pt idx="13">
                  <c:v>358.92176497922156</c:v>
                </c:pt>
                <c:pt idx="14">
                  <c:v>351.92176497922156</c:v>
                </c:pt>
                <c:pt idx="15">
                  <c:v>336.92176497922156</c:v>
                </c:pt>
                <c:pt idx="16">
                  <c:v>321.92176497922156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B3B-6442-AFEC-07E56791BA28}"/>
            </c:ext>
          </c:extLst>
        </c:ser>
        <c:ser>
          <c:idx val="11"/>
          <c:order val="10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Trajecto!$F$177:$F$193</c:f>
              <c:numCache>
                <c:formatCode>0</c:formatCode>
                <c:ptCount val="17"/>
                <c:pt idx="0">
                  <c:v>321.92176497922156</c:v>
                </c:pt>
                <c:pt idx="1">
                  <c:v>321.92176497922156</c:v>
                </c:pt>
                <c:pt idx="2">
                  <c:v>311.92176497922156</c:v>
                </c:pt>
                <c:pt idx="3">
                  <c:v>321.92176497922156</c:v>
                </c:pt>
                <c:pt idx="4">
                  <c:v>311.92176497922156</c:v>
                </c:pt>
                <c:pt idx="5">
                  <c:v>308.92176497922156</c:v>
                </c:pt>
                <c:pt idx="6">
                  <c:v>304.92176497922156</c:v>
                </c:pt>
                <c:pt idx="7">
                  <c:v>301.92176497922156</c:v>
                </c:pt>
                <c:pt idx="8">
                  <c:v>296.92176497922156</c:v>
                </c:pt>
                <c:pt idx="9">
                  <c:v>291.92176497922156</c:v>
                </c:pt>
                <c:pt idx="10">
                  <c:v>285.92176497922156</c:v>
                </c:pt>
                <c:pt idx="11">
                  <c:v>273.92176497922156</c:v>
                </c:pt>
                <c:pt idx="12">
                  <c:v>259.92176497922156</c:v>
                </c:pt>
                <c:pt idx="13">
                  <c:v>284.92176497922156</c:v>
                </c:pt>
                <c:pt idx="14">
                  <c:v>291.92176497922156</c:v>
                </c:pt>
                <c:pt idx="15">
                  <c:v>306.92176497922156</c:v>
                </c:pt>
                <c:pt idx="16">
                  <c:v>321.92176497922156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B3B-6442-AFEC-07E56791BA28}"/>
            </c:ext>
          </c:extLst>
        </c:ser>
        <c:ser>
          <c:idx val="12"/>
          <c:order val="11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Trajecto!$D$194:$D$197</c:f>
              <c:numCache>
                <c:formatCode>0</c:formatCode>
                <c:ptCount val="4"/>
                <c:pt idx="0">
                  <c:v>321.92176497922156</c:v>
                </c:pt>
                <c:pt idx="1">
                  <c:v>338.92176497922156</c:v>
                </c:pt>
                <c:pt idx="2">
                  <c:v>332.92176497922156</c:v>
                </c:pt>
                <c:pt idx="3">
                  <c:v>321.92176497922156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B3B-6442-AFEC-07E56791BA28}"/>
            </c:ext>
          </c:extLst>
        </c:ser>
        <c:ser>
          <c:idx val="13"/>
          <c:order val="12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Trajecto!$F$194:$F$197</c:f>
              <c:numCache>
                <c:formatCode>0</c:formatCode>
                <c:ptCount val="4"/>
                <c:pt idx="0">
                  <c:v>321.92176497922156</c:v>
                </c:pt>
                <c:pt idx="1">
                  <c:v>304.92176497922156</c:v>
                </c:pt>
                <c:pt idx="2">
                  <c:v>310.92176497922156</c:v>
                </c:pt>
                <c:pt idx="3">
                  <c:v>321.92176497922156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B3B-6442-AFEC-07E56791BA28}"/>
            </c:ext>
          </c:extLst>
        </c:ser>
        <c:ser>
          <c:idx val="3"/>
          <c:order val="1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dLbls>
            <c:dLbl>
              <c:idx val="1"/>
              <c:tx>
                <c:strRef>
                  <c:f>Trajecto!$B$108</c:f>
                  <c:strCache>
                    <c:ptCount val="1"/>
                    <c:pt idx="0">
                      <c:v>Fusée sous parachute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{0ED8F668-8513-430A-AAB1-32B31E4E64B5}</c15:txfldGUID>
                      <c15:f>Trajecto!$B$108</c15:f>
                      <c15:dlblFieldTableCache>
                        <c:ptCount val="1"/>
                        <c:pt idx="0">
                          <c:v>Fusée sous parachute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Trajecto!$B$123:$B$129</c:f>
              <c:numCache>
                <c:formatCode>0</c:formatCode>
                <c:ptCount val="7"/>
                <c:pt idx="0">
                  <c:v>324.77682050982679</c:v>
                </c:pt>
                <c:pt idx="1">
                  <c:v>324.77682050982679</c:v>
                </c:pt>
                <c:pt idx="2">
                  <c:v>324.77682050982679</c:v>
                </c:pt>
                <c:pt idx="3">
                  <c:v>372.93807110939895</c:v>
                </c:pt>
                <c:pt idx="4">
                  <c:v>324.77682050982679</c:v>
                </c:pt>
                <c:pt idx="5">
                  <c:v>276.61556991025464</c:v>
                </c:pt>
                <c:pt idx="6">
                  <c:v>324.77682050982679</c:v>
                </c:pt>
              </c:numCache>
            </c:numRef>
          </c:xVal>
          <c:yVal>
            <c:numRef>
              <c:f>Trajecto!$C$121:$C$127</c:f>
              <c:numCache>
                <c:formatCode>0</c:formatCode>
                <c:ptCount val="7"/>
                <c:pt idx="0">
                  <c:v>1926.4500239828867</c:v>
                </c:pt>
                <c:pt idx="1">
                  <c:v>963.22501199144335</c:v>
                </c:pt>
                <c:pt idx="2">
                  <c:v>0</c:v>
                </c:pt>
                <c:pt idx="3">
                  <c:v>96.322501199144341</c:v>
                </c:pt>
                <c:pt idx="4">
                  <c:v>0</c:v>
                </c:pt>
                <c:pt idx="5">
                  <c:v>96.322501199144341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B3B-6442-AFEC-07E56791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365328"/>
        <c:axId val="1"/>
      </c:scatterChart>
      <c:valAx>
        <c:axId val="1806365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Trajecto!$B$111</c:f>
              <c:strCache>
                <c:ptCount val="1"/>
                <c:pt idx="0">
                  <c:v>Portée x [m]</c:v>
                </c:pt>
              </c:strCache>
            </c:strRef>
          </c:tx>
          <c:layout>
            <c:manualLayout>
              <c:xMode val="edge"/>
              <c:yMode val="edge"/>
              <c:x val="0.56464627732344275"/>
              <c:y val="0.84829693458129052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8.1818320007296386E-2"/>
              <c:y val="6.8111391736410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365328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paperSize="9" firstPageNumber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Trajecto!$B$113</c:f>
          <c:strCache>
            <c:ptCount val="1"/>
            <c:pt idx="0">
              <c:v>Altitude z  /  Temps</c:v>
            </c:pt>
          </c:strCache>
        </c:strRef>
      </c:tx>
      <c:layout>
        <c:manualLayout>
          <c:xMode val="edge"/>
          <c:yMode val="edge"/>
          <c:x val="0.57666688909649"/>
          <c:y val="3.7151818286865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666916233451413E-2"/>
          <c:y val="3.5608360198500402E-2"/>
          <c:w val="0.89333624132890865"/>
          <c:h val="0.89614373166225958"/>
        </c:manualLayout>
      </c:layout>
      <c:scatterChart>
        <c:scatterStyle val="lineMarker"/>
        <c:varyColors val="0"/>
        <c:ser>
          <c:idx val="4"/>
          <c:order val="0"/>
          <c:tx>
            <c:v>Point invisible pour mise à l'echelle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Trajecto!$B$120</c:f>
              <c:numCache>
                <c:formatCode>0</c:formatCode>
                <c:ptCount val="1"/>
                <c:pt idx="0">
                  <c:v>1926.6040134102664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E84B-8A2E-77A3E8DE6A60}"/>
            </c:ext>
          </c:extLst>
        </c:ser>
        <c:ser>
          <c:idx val="0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Calculs!$AC$4:$AC$1004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1.0000000000000007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2.0000000000000013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2.99999999999998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3.9999999999999587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4.9999999999999556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5.999999999999952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6.9999999999999485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7.9999999999999449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8.9999999999999414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9.9999999999999378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10.999999999999934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11.999999999999931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12.999999999999927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13.999999999999924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14.99999999999992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15.999999999999917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16.999999999999929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17.999999999999943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18.999999999999957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19.999999999999972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20.999999999999986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22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23.000000000000014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24.000000000000028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25.000000000000043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26.000000000000057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27.000000000000071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28.000000000000085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29.000000000000099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30.000000000000114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31.000000000000128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32.000000000000142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33.000000000000156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34.000000000000171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35.000000000000185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36.000000000000199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37.000000000000213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38.000000000000227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39.000000000000242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40.000000000000256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41.00000000000027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1.3233354686966879E-4</c:v>
                </c:pt>
                <c:pt idx="2">
                  <c:v>1.7678971011637825E-3</c:v>
                </c:pt>
                <c:pt idx="3">
                  <c:v>7.3846649585392532E-3</c:v>
                </c:pt>
                <c:pt idx="4">
                  <c:v>1.9462765294790782E-2</c:v>
                </c:pt>
                <c:pt idx="5">
                  <c:v>4.0485388323537631E-2</c:v>
                </c:pt>
                <c:pt idx="6">
                  <c:v>7.2311495227104908E-2</c:v>
                </c:pt>
                <c:pt idx="7">
                  <c:v>0.11554661406552218</c:v>
                </c:pt>
                <c:pt idx="8">
                  <c:v>0.17016875077340787</c:v>
                </c:pt>
                <c:pt idx="9">
                  <c:v>0.23615576217981632</c:v>
                </c:pt>
                <c:pt idx="10">
                  <c:v>0.3134853564423159</c:v>
                </c:pt>
                <c:pt idx="11">
                  <c:v>0.40213509348839366</c:v>
                </c:pt>
                <c:pt idx="12">
                  <c:v>0.5020823854641463</c:v>
                </c:pt>
                <c:pt idx="13">
                  <c:v>0.61330449719021651</c:v>
                </c:pt>
                <c:pt idx="14">
                  <c:v>0.73577854662493314</c:v>
                </c:pt>
                <c:pt idx="15">
                  <c:v>0.86948150533461188</c:v>
                </c:pt>
                <c:pt idx="16">
                  <c:v>1.0143901989709738</c:v>
                </c:pt>
                <c:pt idx="17">
                  <c:v>1.1704813077556369</c:v>
                </c:pt>
                <c:pt idx="18">
                  <c:v>1.3377313669716355</c:v>
                </c:pt>
                <c:pt idx="19">
                  <c:v>1.5161167674619227</c:v>
                </c:pt>
                <c:pt idx="20">
                  <c:v>1.705613756134807</c:v>
                </c:pt>
                <c:pt idx="21">
                  <c:v>1.9061984364762792</c:v>
                </c:pt>
                <c:pt idx="22">
                  <c:v>2.1178467690691769</c:v>
                </c:pt>
                <c:pt idx="23">
                  <c:v>2.3405345721191422</c:v>
                </c:pt>
                <c:pt idx="24">
                  <c:v>2.5742375219873179</c:v>
                </c:pt>
                <c:pt idx="25">
                  <c:v>2.8189311537297388</c:v>
                </c:pt>
                <c:pt idx="26">
                  <c:v>3.0745908616433573</c:v>
                </c:pt>
                <c:pt idx="27">
                  <c:v>3.3411918998186607</c:v>
                </c:pt>
                <c:pt idx="28">
                  <c:v>3.6187093826988224</c:v>
                </c:pt>
                <c:pt idx="29">
                  <c:v>3.9071182856453341</c:v>
                </c:pt>
                <c:pt idx="30">
                  <c:v>4.2063934455100664</c:v>
                </c:pt>
                <c:pt idx="31">
                  <c:v>4.5165058330928476</c:v>
                </c:pt>
                <c:pt idx="32">
                  <c:v>4.8374261449249225</c:v>
                </c:pt>
                <c:pt idx="33">
                  <c:v>5.1691285340213797</c:v>
                </c:pt>
                <c:pt idx="34">
                  <c:v>5.5115870234091933</c:v>
                </c:pt>
                <c:pt idx="35">
                  <c:v>5.8647755085918361</c:v>
                </c:pt>
                <c:pt idx="36">
                  <c:v>6.2286677577231684</c:v>
                </c:pt>
                <c:pt idx="37">
                  <c:v>6.6032374118248418</c:v>
                </c:pt>
                <c:pt idx="38">
                  <c:v>6.9884579850429116</c:v>
                </c:pt>
                <c:pt idx="39">
                  <c:v>7.3843028649399383</c:v>
                </c:pt>
                <c:pt idx="40">
                  <c:v>7.7907453128193618</c:v>
                </c:pt>
                <c:pt idx="41">
                  <c:v>8.207758464079328</c:v>
                </c:pt>
                <c:pt idx="42">
                  <c:v>8.6353153285935189</c:v>
                </c:pt>
                <c:pt idx="43">
                  <c:v>9.0733887911168214</c:v>
                </c:pt>
                <c:pt idx="44">
                  <c:v>9.5219516117139342</c:v>
                </c:pt>
                <c:pt idx="45">
                  <c:v>9.9809764262092102</c:v>
                </c:pt>
                <c:pt idx="46">
                  <c:v>10.45043574665625</c:v>
                </c:pt>
                <c:pt idx="47">
                  <c:v>10.930301961825897</c:v>
                </c:pt>
                <c:pt idx="48">
                  <c:v>11.420547337711429</c:v>
                </c:pt>
                <c:pt idx="49">
                  <c:v>11.921144018049887</c:v>
                </c:pt>
                <c:pt idx="50">
                  <c:v>12.432064024858539</c:v>
                </c:pt>
                <c:pt idx="51">
                  <c:v>12.953282582380416</c:v>
                </c:pt>
                <c:pt idx="52">
                  <c:v>13.484781447029643</c:v>
                </c:pt>
                <c:pt idx="53">
                  <c:v>14.026545592720122</c:v>
                </c:pt>
                <c:pt idx="54">
                  <c:v>14.578559890023286</c:v>
                </c:pt>
                <c:pt idx="55">
                  <c:v>15.140809106374764</c:v>
                </c:pt>
                <c:pt idx="56">
                  <c:v>15.713277906290934</c:v>
                </c:pt>
                <c:pt idx="57">
                  <c:v>16.295950851594956</c:v>
                </c:pt>
                <c:pt idx="58">
                  <c:v>16.888812401651926</c:v>
                </c:pt>
                <c:pt idx="59">
                  <c:v>17.49184691361279</c:v>
                </c:pt>
                <c:pt idx="60">
                  <c:v>18.105038642666727</c:v>
                </c:pt>
                <c:pt idx="61">
                  <c:v>18.728371742301682</c:v>
                </c:pt>
                <c:pt idx="62">
                  <c:v>19.361830264572792</c:v>
                </c:pt>
                <c:pt idx="63">
                  <c:v>20.005398160378441</c:v>
                </c:pt>
                <c:pt idx="64">
                  <c:v>20.659059279743751</c:v>
                </c:pt>
                <c:pt idx="65">
                  <c:v>21.322797372111214</c:v>
                </c:pt>
                <c:pt idx="66">
                  <c:v>21.996596086638341</c:v>
                </c:pt>
                <c:pt idx="67">
                  <c:v>22.680438972502074</c:v>
                </c:pt>
                <c:pt idx="68">
                  <c:v>23.37430947920981</c:v>
                </c:pt>
                <c:pt idx="69">
                  <c:v>24.078190956916874</c:v>
                </c:pt>
                <c:pt idx="70">
                  <c:v>24.792066656750261</c:v>
                </c:pt>
                <c:pt idx="71">
                  <c:v>25.515919731138499</c:v>
                </c:pt>
                <c:pt idx="72">
                  <c:v>26.249733234147506</c:v>
                </c:pt>
                <c:pt idx="73">
                  <c:v>26.99349012182228</c:v>
                </c:pt>
                <c:pt idx="74">
                  <c:v>27.747173252534331</c:v>
                </c:pt>
                <c:pt idx="75">
                  <c:v>28.510765387334679</c:v>
                </c:pt>
                <c:pt idx="76">
                  <c:v>29.284249190312352</c:v>
                </c:pt>
                <c:pt idx="77">
                  <c:v>30.067607228958231</c:v>
                </c:pt>
                <c:pt idx="78">
                  <c:v>30.860821974534179</c:v>
                </c:pt>
                <c:pt idx="79">
                  <c:v>31.663875802447297</c:v>
                </c:pt>
                <c:pt idx="80">
                  <c:v>32.476750992629256</c:v>
                </c:pt>
                <c:pt idx="81">
                  <c:v>33.299429729920583</c:v>
                </c:pt>
                <c:pt idx="82">
                  <c:v>34.131894104459818</c:v>
                </c:pt>
                <c:pt idx="83">
                  <c:v>34.97412611207745</c:v>
                </c:pt>
                <c:pt idx="84">
                  <c:v>35.826107654694546</c:v>
                </c:pt>
                <c:pt idx="85">
                  <c:v>36.687820540726001</c:v>
                </c:pt>
                <c:pt idx="86">
                  <c:v>37.559246485488302</c:v>
                </c:pt>
                <c:pt idx="87">
                  <c:v>38.440367111611778</c:v>
                </c:pt>
                <c:pt idx="88">
                  <c:v>39.331163949457171</c:v>
                </c:pt>
                <c:pt idx="89">
                  <c:v>40.231618437536575</c:v>
                </c:pt>
                <c:pt idx="90">
                  <c:v>41.141711922938555</c:v>
                </c:pt>
                <c:pt idx="91">
                  <c:v>42.061425661757454</c:v>
                </c:pt>
                <c:pt idx="92">
                  <c:v>42.990740819526756</c:v>
                </c:pt>
                <c:pt idx="93">
                  <c:v>43.929638471656531</c:v>
                </c:pt>
                <c:pt idx="94">
                  <c:v>44.878099603874766</c:v>
                </c:pt>
                <c:pt idx="95">
                  <c:v>45.836105112672634</c:v>
                </c:pt>
                <c:pt idx="96">
                  <c:v>46.803635805753579</c:v>
                </c:pt>
                <c:pt idx="97">
                  <c:v>47.780672402486154</c:v>
                </c:pt>
                <c:pt idx="98">
                  <c:v>48.767195534360567</c:v>
                </c:pt>
                <c:pt idx="99">
                  <c:v>49.76318574544888</c:v>
                </c:pt>
                <c:pt idx="100">
                  <c:v>50.76862349286877</c:v>
                </c:pt>
                <c:pt idx="101">
                  <c:v>51.783487606594051</c:v>
                </c:pt>
                <c:pt idx="102">
                  <c:v>52.807753747314081</c:v>
                </c:pt>
                <c:pt idx="103">
                  <c:v>53.841395945364965</c:v>
                </c:pt>
                <c:pt idx="104">
                  <c:v>54.884388141708492</c:v>
                </c:pt>
                <c:pt idx="105">
                  <c:v>55.936704188592621</c:v>
                </c:pt>
                <c:pt idx="106">
                  <c:v>56.998317850215017</c:v>
                </c:pt>
                <c:pt idx="107">
                  <c:v>58.069202803389466</c:v>
                </c:pt>
                <c:pt idx="108">
                  <c:v>59.149332638215199</c:v>
                </c:pt>
                <c:pt idx="109">
                  <c:v>60.238680858748971</c:v>
                </c:pt>
                <c:pt idx="110">
                  <c:v>61.337220883679876</c:v>
                </c:pt>
                <c:pt idx="111">
                  <c:v>62.444926047006803</c:v>
                </c:pt>
                <c:pt idx="112">
                  <c:v>63.561769598718449</c:v>
                </c:pt>
                <c:pt idx="113">
                  <c:v>64.68772470547583</c:v>
                </c:pt>
                <c:pt idx="114">
                  <c:v>65.822764451297246</c:v>
                </c:pt>
                <c:pt idx="115">
                  <c:v>66.966861838245549</c:v>
                </c:pt>
                <c:pt idx="116">
                  <c:v>68.11998978711776</c:v>
                </c:pt>
                <c:pt idx="117">
                  <c:v>69.282121138136816</c:v>
                </c:pt>
                <c:pt idx="118">
                  <c:v>70.453228651645574</c:v>
                </c:pt>
                <c:pt idx="119">
                  <c:v>71.633285008802815</c:v>
                </c:pt>
                <c:pt idx="120">
                  <c:v>72.822262812281238</c:v>
                </c:pt>
                <c:pt idx="121">
                  <c:v>74.020134586967501</c:v>
                </c:pt>
                <c:pt idx="122">
                  <c:v>75.22687278066401</c:v>
                </c:pt>
                <c:pt idx="123">
                  <c:v>76.442449764792599</c:v>
                </c:pt>
                <c:pt idx="124">
                  <c:v>77.666837835099912</c:v>
                </c:pt>
                <c:pt idx="125">
                  <c:v>78.900009212364466</c:v>
                </c:pt>
                <c:pt idx="126">
                  <c:v>80.141936043105346</c:v>
                </c:pt>
                <c:pt idx="127">
                  <c:v>81.392590400292406</c:v>
                </c:pt>
                <c:pt idx="128">
                  <c:v>82.651944284057933</c:v>
                </c:pt>
                <c:pt idx="129">
                  <c:v>83.919969622409795</c:v>
                </c:pt>
                <c:pt idx="130">
                  <c:v>85.196638271945858</c:v>
                </c:pt>
                <c:pt idx="131">
                  <c:v>86.481922018569733</c:v>
                </c:pt>
                <c:pt idx="132">
                  <c:v>87.775792578207728</c:v>
                </c:pt>
                <c:pt idx="133">
                  <c:v>89.07822159752692</c:v>
                </c:pt>
                <c:pt idx="134">
                  <c:v>90.38918065465441</c:v>
                </c:pt>
                <c:pt idx="135">
                  <c:v>91.708641259897504</c:v>
                </c:pt>
                <c:pt idx="136">
                  <c:v>93.036574856464924</c:v>
                </c:pt>
                <c:pt idx="137">
                  <c:v>94.372952821188889</c:v>
                </c:pt>
                <c:pt idx="138">
                  <c:v>95.717746465248098</c:v>
                </c:pt>
                <c:pt idx="139">
                  <c:v>97.070927034891398</c:v>
                </c:pt>
                <c:pt idx="140">
                  <c:v>98.432465712162269</c:v>
                </c:pt>
                <c:pt idx="141">
                  <c:v>99.80233361562388</c:v>
                </c:pt>
                <c:pt idx="142">
                  <c:v>101.18050180108484</c:v>
                </c:pt>
                <c:pt idx="143">
                  <c:v>102.56694126232541</c:v>
                </c:pt>
                <c:pt idx="144">
                  <c:v>103.96162293182422</c:v>
                </c:pt>
                <c:pt idx="145">
                  <c:v>105.36451768148538</c:v>
                </c:pt>
                <c:pt idx="146">
                  <c:v>106.77559632336603</c:v>
                </c:pt>
                <c:pt idx="147">
                  <c:v>108.19482961040408</c:v>
                </c:pt>
                <c:pt idx="148">
                  <c:v>109.62218823714632</c:v>
                </c:pt>
                <c:pt idx="149">
                  <c:v>111.05764284047656</c:v>
                </c:pt>
                <c:pt idx="150">
                  <c:v>112.50116400034405</c:v>
                </c:pt>
                <c:pt idx="151">
                  <c:v>113.95272276739166</c:v>
                </c:pt>
                <c:pt idx="152">
                  <c:v>115.41229119093816</c:v>
                </c:pt>
                <c:pt idx="153">
                  <c:v>116.87984179297801</c:v>
                </c:pt>
                <c:pt idx="154">
                  <c:v>118.35534704179793</c:v>
                </c:pt>
                <c:pt idx="155">
                  <c:v>119.83877935264707</c:v>
                </c:pt>
                <c:pt idx="156">
                  <c:v>121.33011108840719</c:v>
                </c:pt>
                <c:pt idx="157">
                  <c:v>122.8293145602629</c:v>
                </c:pt>
                <c:pt idx="158">
                  <c:v>124.33636202837172</c:v>
                </c:pt>
                <c:pt idx="159">
                  <c:v>125.85122570253425</c:v>
                </c:pt>
                <c:pt idx="160">
                  <c:v>127.37387774286398</c:v>
                </c:pt>
                <c:pt idx="161">
                  <c:v>128.90429026045709</c:v>
                </c:pt>
                <c:pt idx="162">
                  <c:v>130.44243531806183</c:v>
                </c:pt>
                <c:pt idx="163">
                  <c:v>131.98828493074782</c:v>
                </c:pt>
                <c:pt idx="164">
                  <c:v>133.54181106657484</c:v>
                </c:pt>
                <c:pt idx="165">
                  <c:v>135.10298564726125</c:v>
                </c:pt>
                <c:pt idx="166">
                  <c:v>136.6717805488521</c:v>
                </c:pt>
                <c:pt idx="167">
                  <c:v>138.24816760238656</c:v>
                </c:pt>
                <c:pt idx="168">
                  <c:v>139.83211859456503</c:v>
                </c:pt>
                <c:pt idx="169">
                  <c:v>141.42360526841551</c:v>
                </c:pt>
                <c:pt idx="170">
                  <c:v>143.0225993239595</c:v>
                </c:pt>
                <c:pt idx="171">
                  <c:v>144.62907241887703</c:v>
                </c:pt>
                <c:pt idx="172">
                  <c:v>146.24299616917116</c:v>
                </c:pt>
                <c:pt idx="173">
                  <c:v>147.86434214983169</c:v>
                </c:pt>
                <c:pt idx="174">
                  <c:v>149.49308189549794</c:v>
                </c:pt>
                <c:pt idx="175">
                  <c:v>151.12918690112082</c:v>
                </c:pt>
                <c:pt idx="176">
                  <c:v>152.77262862262401</c:v>
                </c:pt>
                <c:pt idx="177">
                  <c:v>154.42337847756406</c:v>
                </c:pt>
                <c:pt idx="178">
                  <c:v>156.08140784578967</c:v>
                </c:pt>
                <c:pt idx="179">
                  <c:v>157.74668807009985</c:v>
                </c:pt>
                <c:pt idx="180">
                  <c:v>159.41919045690108</c:v>
                </c:pt>
                <c:pt idx="181">
                  <c:v>161.09888627686325</c:v>
                </c:pt>
                <c:pt idx="182">
                  <c:v>162.78574676557466</c:v>
                </c:pt>
                <c:pt idx="183">
                  <c:v>164.47974312419555</c:v>
                </c:pt>
                <c:pt idx="184">
                  <c:v>166.18084652011066</c:v>
                </c:pt>
                <c:pt idx="185">
                  <c:v>167.88902808758033</c:v>
                </c:pt>
                <c:pt idx="186">
                  <c:v>169.60425892839038</c:v>
                </c:pt>
                <c:pt idx="187">
                  <c:v>171.32651011250059</c:v>
                </c:pt>
                <c:pt idx="188">
                  <c:v>173.05575267869182</c:v>
                </c:pt>
                <c:pt idx="189">
                  <c:v>174.79195763521167</c:v>
                </c:pt>
                <c:pt idx="190">
                  <c:v>176.53509596041872</c:v>
                </c:pt>
                <c:pt idx="191">
                  <c:v>178.28513860342514</c:v>
                </c:pt>
                <c:pt idx="192">
                  <c:v>180.04205648473786</c:v>
                </c:pt>
                <c:pt idx="193">
                  <c:v>181.80582049689812</c:v>
                </c:pt>
                <c:pt idx="194">
                  <c:v>183.57640150511941</c:v>
                </c:pt>
                <c:pt idx="195">
                  <c:v>185.35377034792367</c:v>
                </c:pt>
                <c:pt idx="196">
                  <c:v>187.13789783777588</c:v>
                </c:pt>
                <c:pt idx="197">
                  <c:v>188.9287547617169</c:v>
                </c:pt>
                <c:pt idx="198">
                  <c:v>190.72631188199449</c:v>
                </c:pt>
                <c:pt idx="199">
                  <c:v>192.53053993669252</c:v>
                </c:pt>
                <c:pt idx="200">
                  <c:v>194.34140964035842</c:v>
                </c:pt>
                <c:pt idx="201">
                  <c:v>196.15889168462871</c:v>
                </c:pt>
                <c:pt idx="202">
                  <c:v>197.98295673885255</c:v>
                </c:pt>
                <c:pt idx="203">
                  <c:v>199.81357545071344</c:v>
                </c:pt>
                <c:pt idx="204">
                  <c:v>201.65071844684888</c:v>
                </c:pt>
                <c:pt idx="205">
                  <c:v>203.49435633346809</c:v>
                </c:pt>
                <c:pt idx="206">
                  <c:v>205.34445969696756</c:v>
                </c:pt>
                <c:pt idx="207">
                  <c:v>207.20099910454465</c:v>
                </c:pt>
                <c:pt idx="208">
                  <c:v>209.06394510480899</c:v>
                </c:pt>
                <c:pt idx="209">
                  <c:v>210.93326822839182</c:v>
                </c:pt>
                <c:pt idx="210">
                  <c:v>212.80893898855305</c:v>
                </c:pt>
                <c:pt idx="211">
                  <c:v>214.69092788178622</c:v>
                </c:pt>
                <c:pt idx="212">
                  <c:v>216.57920538842117</c:v>
                </c:pt>
                <c:pt idx="213">
                  <c:v>218.47374197322449</c:v>
                </c:pt>
                <c:pt idx="214">
                  <c:v>220.3745080859976</c:v>
                </c:pt>
                <c:pt idx="215">
                  <c:v>222.2814741621726</c:v>
                </c:pt>
                <c:pt idx="216">
                  <c:v>224.19461062340571</c:v>
                </c:pt>
                <c:pt idx="217">
                  <c:v>226.11388787816833</c:v>
                </c:pt>
                <c:pt idx="218">
                  <c:v>228.03927632233572</c:v>
                </c:pt>
                <c:pt idx="219">
                  <c:v>229.97074633977329</c:v>
                </c:pt>
                <c:pt idx="220">
                  <c:v>231.90826830292025</c:v>
                </c:pt>
                <c:pt idx="221">
                  <c:v>233.85181257337101</c:v>
                </c:pt>
                <c:pt idx="222">
                  <c:v>235.80134950245395</c:v>
                </c:pt>
                <c:pt idx="223">
                  <c:v>237.75684943180755</c:v>
                </c:pt>
                <c:pt idx="224">
                  <c:v>239.71828269395419</c:v>
                </c:pt>
                <c:pt idx="225">
                  <c:v>241.68561961287116</c:v>
                </c:pt>
                <c:pt idx="226">
                  <c:v>243.65883050455909</c:v>
                </c:pt>
                <c:pt idx="227">
                  <c:v>245.63788567760784</c:v>
                </c:pt>
                <c:pt idx="228">
                  <c:v>247.62275543375966</c:v>
                </c:pt>
                <c:pt idx="229">
                  <c:v>249.61341006846965</c:v>
                </c:pt>
                <c:pt idx="230">
                  <c:v>251.60981987146346</c:v>
                </c:pt>
                <c:pt idx="231">
                  <c:v>253.61195512729248</c:v>
                </c:pt>
                <c:pt idx="232">
                  <c:v>255.61978611588603</c:v>
                </c:pt>
                <c:pt idx="233">
                  <c:v>257.63328311310084</c:v>
                </c:pt>
                <c:pt idx="234">
                  <c:v>259.65241639126788</c:v>
                </c:pt>
                <c:pt idx="235">
                  <c:v>261.6771562197361</c:v>
                </c:pt>
                <c:pt idx="236">
                  <c:v>263.70747286541371</c:v>
                </c:pt>
                <c:pt idx="237">
                  <c:v>265.7433365933062</c:v>
                </c:pt>
                <c:pt idx="238">
                  <c:v>267.78471766705167</c:v>
                </c:pt>
                <c:pt idx="239">
                  <c:v>269.8315863494534</c:v>
                </c:pt>
                <c:pt idx="240">
                  <c:v>271.88391290300927</c:v>
                </c:pt>
                <c:pt idx="241">
                  <c:v>273.94166759043844</c:v>
                </c:pt>
                <c:pt idx="242">
                  <c:v>276.00482067520483</c:v>
                </c:pt>
                <c:pt idx="243">
                  <c:v>278.07334242203791</c:v>
                </c:pt>
                <c:pt idx="244">
                  <c:v>280.14720309745042</c:v>
                </c:pt>
                <c:pt idx="245">
                  <c:v>282.22637297025284</c:v>
                </c:pt>
                <c:pt idx="246">
                  <c:v>284.3108223120654</c:v>
                </c:pt>
                <c:pt idx="247">
                  <c:v>286.40052139782637</c:v>
                </c:pt>
                <c:pt idx="248">
                  <c:v>288.49544050629777</c:v>
                </c:pt>
                <c:pt idx="249">
                  <c:v>290.59554992056798</c:v>
                </c:pt>
                <c:pt idx="250">
                  <c:v>292.70081992855108</c:v>
                </c:pt>
                <c:pt idx="251">
                  <c:v>294.81121853091122</c:v>
                </c:pt>
                <c:pt idx="252">
                  <c:v>296.92670914982585</c:v>
                </c:pt>
                <c:pt idx="253">
                  <c:v>299.04725292562813</c:v>
                </c:pt>
                <c:pt idx="254">
                  <c:v>301.1728110126997</c:v>
                </c:pt>
                <c:pt idx="255">
                  <c:v>303.30334458014386</c:v>
                </c:pt>
                <c:pt idx="256">
                  <c:v>305.43881481245364</c:v>
                </c:pt>
                <c:pt idx="257">
                  <c:v>307.5791829101745</c:v>
                </c:pt>
                <c:pt idx="258">
                  <c:v>309.72441009056178</c:v>
                </c:pt>
                <c:pt idx="259">
                  <c:v>311.87445758823276</c:v>
                </c:pt>
                <c:pt idx="260">
                  <c:v>314.02928665581362</c:v>
                </c:pt>
                <c:pt idx="261">
                  <c:v>316.1888585645807</c:v>
                </c:pt>
                <c:pt idx="262">
                  <c:v>318.35313460509673</c:v>
                </c:pt>
                <c:pt idx="263">
                  <c:v>320.52207608784158</c:v>
                </c:pt>
                <c:pt idx="264">
                  <c:v>322.69564434383773</c:v>
                </c:pt>
                <c:pt idx="265">
                  <c:v>324.87380072527014</c:v>
                </c:pt>
                <c:pt idx="266">
                  <c:v>327.05650660610087</c:v>
                </c:pt>
                <c:pt idx="267">
                  <c:v>329.24372338267841</c:v>
                </c:pt>
                <c:pt idx="268">
                  <c:v>331.43541247434138</c:v>
                </c:pt>
                <c:pt idx="269">
                  <c:v>333.63153532401702</c:v>
                </c:pt>
                <c:pt idx="270">
                  <c:v>335.83205339881414</c:v>
                </c:pt>
                <c:pt idx="271">
                  <c:v>338.03692819061052</c:v>
                </c:pt>
                <c:pt idx="272">
                  <c:v>340.24612121663523</c:v>
                </c:pt>
                <c:pt idx="273">
                  <c:v>342.45959402004507</c:v>
                </c:pt>
                <c:pt idx="274">
                  <c:v>344.67730817049608</c:v>
                </c:pt>
                <c:pt idx="275">
                  <c:v>346.89922526470895</c:v>
                </c:pt>
                <c:pt idx="276">
                  <c:v>349.12530692702967</c:v>
                </c:pt>
                <c:pt idx="277">
                  <c:v>351.35551480998419</c:v>
                </c:pt>
                <c:pt idx="278">
                  <c:v>353.58981059482784</c:v>
                </c:pt>
                <c:pt idx="279">
                  <c:v>355.82815599208931</c:v>
                </c:pt>
                <c:pt idx="280">
                  <c:v>358.0705127421092</c:v>
                </c:pt>
                <c:pt idx="281">
                  <c:v>360.31684261557291</c:v>
                </c:pt>
                <c:pt idx="282">
                  <c:v>362.56710741403822</c:v>
                </c:pt>
                <c:pt idx="283">
                  <c:v>364.82126897045742</c:v>
                </c:pt>
                <c:pt idx="284">
                  <c:v>367.07928914969403</c:v>
                </c:pt>
                <c:pt idx="285">
                  <c:v>369.34112984903385</c:v>
                </c:pt>
                <c:pt idx="286">
                  <c:v>371.60675299869064</c:v>
                </c:pt>
                <c:pt idx="287">
                  <c:v>373.8761205623066</c:v>
                </c:pt>
                <c:pt idx="288">
                  <c:v>376.14919453744699</c:v>
                </c:pt>
                <c:pt idx="289">
                  <c:v>378.42593695608957</c:v>
                </c:pt>
                <c:pt idx="290">
                  <c:v>380.70630988510851</c:v>
                </c:pt>
                <c:pt idx="291">
                  <c:v>382.99027542675299</c:v>
                </c:pt>
                <c:pt idx="292">
                  <c:v>385.27779571912009</c:v>
                </c:pt>
                <c:pt idx="293">
                  <c:v>387.56883293662253</c:v>
                </c:pt>
                <c:pt idx="294">
                  <c:v>389.8633492904508</c:v>
                </c:pt>
                <c:pt idx="295">
                  <c:v>392.16130702903013</c:v>
                </c:pt>
                <c:pt idx="296">
                  <c:v>394.46266843847172</c:v>
                </c:pt>
                <c:pt idx="297">
                  <c:v>396.76739584301885</c:v>
                </c:pt>
                <c:pt idx="298">
                  <c:v>399.07542636391133</c:v>
                </c:pt>
                <c:pt idx="299">
                  <c:v>401.3866467005185</c:v>
                </c:pt>
                <c:pt idx="300">
                  <c:v>403.70091843431464</c:v>
                </c:pt>
                <c:pt idx="301">
                  <c:v>406.01810331214421</c:v>
                </c:pt>
                <c:pt idx="302">
                  <c:v>408.33806324974847</c:v>
                </c:pt>
                <c:pt idx="303">
                  <c:v>410.6606603352285</c:v>
                </c:pt>
                <c:pt idx="304">
                  <c:v>412.98575683244439</c:v>
                </c:pt>
                <c:pt idx="305">
                  <c:v>415.31321518435101</c:v>
                </c:pt>
                <c:pt idx="306">
                  <c:v>417.6428980162699</c:v>
                </c:pt>
                <c:pt idx="307">
                  <c:v>419.97466813909784</c:v>
                </c:pt>
                <c:pt idx="308">
                  <c:v>422.3083885524523</c:v>
                </c:pt>
                <c:pt idx="309">
                  <c:v>424.64392244775337</c:v>
                </c:pt>
                <c:pt idx="310">
                  <c:v>426.98113321124271</c:v>
                </c:pt>
                <c:pt idx="311">
                  <c:v>429.31988442693984</c:v>
                </c:pt>
                <c:pt idx="312">
                  <c:v>431.66003987953536</c:v>
                </c:pt>
                <c:pt idx="313">
                  <c:v>434.00146355722188</c:v>
                </c:pt>
                <c:pt idx="314">
                  <c:v>436.34401965446256</c:v>
                </c:pt>
                <c:pt idx="315">
                  <c:v>438.68757257469724</c:v>
                </c:pt>
                <c:pt idx="316">
                  <c:v>441.03198693298702</c:v>
                </c:pt>
                <c:pt idx="317">
                  <c:v>443.37712755859684</c:v>
                </c:pt>
                <c:pt idx="318">
                  <c:v>445.72285949751665</c:v>
                </c:pt>
                <c:pt idx="319">
                  <c:v>448.06904801492141</c:v>
                </c:pt>
                <c:pt idx="320">
                  <c:v>450.41555859756994</c:v>
                </c:pt>
                <c:pt idx="321">
                  <c:v>452.7622670037851</c:v>
                </c:pt>
                <c:pt idx="322">
                  <c:v>455.10906929779424</c:v>
                </c:pt>
                <c:pt idx="323">
                  <c:v>457.45587176938403</c:v>
                </c:pt>
                <c:pt idx="324">
                  <c:v>459.80258086848056</c:v>
                </c:pt>
                <c:pt idx="325">
                  <c:v>462.14910320607339</c:v>
                </c:pt>
                <c:pt idx="326">
                  <c:v>464.49534555511127</c:v>
                </c:pt>
                <c:pt idx="327">
                  <c:v>466.84121485136887</c:v>
                </c:pt>
                <c:pt idx="328">
                  <c:v>469.18661819428553</c:v>
                </c:pt>
                <c:pt idx="329">
                  <c:v>471.53146284777546</c:v>
                </c:pt>
                <c:pt idx="330">
                  <c:v>473.87565624100995</c:v>
                </c:pt>
                <c:pt idx="331">
                  <c:v>476.21910596917178</c:v>
                </c:pt>
                <c:pt idx="332">
                  <c:v>478.56171979418207</c:v>
                </c:pt>
                <c:pt idx="333">
                  <c:v>480.90340564539929</c:v>
                </c:pt>
                <c:pt idx="334">
                  <c:v>483.24407162029132</c:v>
                </c:pt>
                <c:pt idx="335">
                  <c:v>485.58362598508029</c:v>
                </c:pt>
                <c:pt idx="336">
                  <c:v>487.92197717536033</c:v>
                </c:pt>
                <c:pt idx="337">
                  <c:v>490.25903379668893</c:v>
                </c:pt>
                <c:pt idx="338">
                  <c:v>492.59470462515151</c:v>
                </c:pt>
                <c:pt idx="339">
                  <c:v>494.92889860789978</c:v>
                </c:pt>
                <c:pt idx="340">
                  <c:v>497.26152486366402</c:v>
                </c:pt>
                <c:pt idx="341">
                  <c:v>499.59249268323924</c:v>
                </c:pt>
                <c:pt idx="342">
                  <c:v>501.92171152994592</c:v>
                </c:pt>
                <c:pt idx="343">
                  <c:v>504.24909104006497</c:v>
                </c:pt>
                <c:pt idx="344">
                  <c:v>506.57454102324749</c:v>
                </c:pt>
                <c:pt idx="345">
                  <c:v>508.89797146289942</c:v>
                </c:pt>
                <c:pt idx="346">
                  <c:v>511.21929251654126</c:v>
                </c:pt>
                <c:pt idx="347">
                  <c:v>513.53841451614312</c:v>
                </c:pt>
                <c:pt idx="348">
                  <c:v>515.85524905241698</c:v>
                </c:pt>
                <c:pt idx="349">
                  <c:v>518.1697100568997</c:v>
                </c:pt>
                <c:pt idx="350">
                  <c:v>520.4817127137527</c:v>
                </c:pt>
                <c:pt idx="351">
                  <c:v>522.79117237369076</c:v>
                </c:pt>
                <c:pt idx="352">
                  <c:v>525.09800455413438</c:v>
                </c:pt>
                <c:pt idx="353">
                  <c:v>527.40212493934087</c:v>
                </c:pt>
                <c:pt idx="354">
                  <c:v>529.7034493805146</c:v>
                </c:pt>
                <c:pt idx="355">
                  <c:v>532.00189389589696</c:v>
                </c:pt>
                <c:pt idx="356">
                  <c:v>534.29737467083555</c:v>
                </c:pt>
                <c:pt idx="357">
                  <c:v>536.58980805783335</c:v>
                </c:pt>
                <c:pt idx="358">
                  <c:v>538.87911057657732</c:v>
                </c:pt>
                <c:pt idx="359">
                  <c:v>541.16519891394796</c:v>
                </c:pt>
                <c:pt idx="360">
                  <c:v>543.44801246697205</c:v>
                </c:pt>
                <c:pt idx="361">
                  <c:v>545.72753583676149</c:v>
                </c:pt>
                <c:pt idx="362">
                  <c:v>548.00377618798007</c:v>
                </c:pt>
                <c:pt idx="363">
                  <c:v>550.27674065739689</c:v>
                </c:pt>
                <c:pt idx="364">
                  <c:v>552.5464363540309</c:v>
                </c:pt>
                <c:pt idx="365">
                  <c:v>554.81287035929472</c:v>
                </c:pt>
                <c:pt idx="366">
                  <c:v>557.07604972713705</c:v>
                </c:pt>
                <c:pt idx="367">
                  <c:v>559.33598148418446</c:v>
                </c:pt>
                <c:pt idx="368">
                  <c:v>561.59267262988249</c:v>
                </c:pt>
                <c:pt idx="369">
                  <c:v>563.84613013663511</c:v>
                </c:pt>
                <c:pt idx="370">
                  <c:v>566.09636094994414</c:v>
                </c:pt>
                <c:pt idx="371">
                  <c:v>568.34337198854701</c:v>
                </c:pt>
                <c:pt idx="372">
                  <c:v>570.58717014455419</c:v>
                </c:pt>
                <c:pt idx="373">
                  <c:v>572.82776228358534</c:v>
                </c:pt>
                <c:pt idx="374">
                  <c:v>575.06515524490487</c:v>
                </c:pt>
                <c:pt idx="375">
                  <c:v>577.29935584155646</c:v>
                </c:pt>
                <c:pt idx="376">
                  <c:v>579.53037086049665</c:v>
                </c:pt>
                <c:pt idx="377">
                  <c:v>581.75820706272771</c:v>
                </c:pt>
                <c:pt idx="378">
                  <c:v>583.98287118342989</c:v>
                </c:pt>
                <c:pt idx="379">
                  <c:v>586.20436993209216</c:v>
                </c:pt>
                <c:pt idx="380">
                  <c:v>588.42270999264269</c:v>
                </c:pt>
                <c:pt idx="381">
                  <c:v>590.63789802357837</c:v>
                </c:pt>
                <c:pt idx="382">
                  <c:v>592.84994065809326</c:v>
                </c:pt>
                <c:pt idx="383">
                  <c:v>595.0588445042066</c:v>
                </c:pt>
                <c:pt idx="384">
                  <c:v>597.26461614488971</c:v>
                </c:pt>
                <c:pt idx="385">
                  <c:v>599.46726213819215</c:v>
                </c:pt>
                <c:pt idx="386">
                  <c:v>601.66678901736714</c:v>
                </c:pt>
                <c:pt idx="387">
                  <c:v>603.86320329099613</c:v>
                </c:pt>
                <c:pt idx="388">
                  <c:v>606.05651144311264</c:v>
                </c:pt>
                <c:pt idx="389">
                  <c:v>608.24671993332538</c:v>
                </c:pt>
                <c:pt idx="390">
                  <c:v>610.43383519694021</c:v>
                </c:pt>
                <c:pt idx="391">
                  <c:v>612.6178636450818</c:v>
                </c:pt>
                <c:pt idx="392">
                  <c:v>614.79881166481437</c:v>
                </c:pt>
                <c:pt idx="393">
                  <c:v>616.97668561926162</c:v>
                </c:pt>
                <c:pt idx="394">
                  <c:v>619.15149184772565</c:v>
                </c:pt>
                <c:pt idx="395">
                  <c:v>621.32323666580578</c:v>
                </c:pt>
                <c:pt idx="396">
                  <c:v>623.49192636551595</c:v>
                </c:pt>
                <c:pt idx="397">
                  <c:v>625.65756721540185</c:v>
                </c:pt>
                <c:pt idx="398">
                  <c:v>627.82016546065722</c:v>
                </c:pt>
                <c:pt idx="399">
                  <c:v>629.9797273232391</c:v>
                </c:pt>
                <c:pt idx="400">
                  <c:v>632.13625900198269</c:v>
                </c:pt>
                <c:pt idx="401">
                  <c:v>653.53539404675041</c:v>
                </c:pt>
                <c:pt idx="402">
                  <c:v>674.63548225065961</c:v>
                </c:pt>
                <c:pt idx="403">
                  <c:v>695.4425041369102</c:v>
                </c:pt>
                <c:pt idx="404">
                  <c:v>715.96222361986725</c:v>
                </c:pt>
                <c:pt idx="405">
                  <c:v>736.20019831701836</c:v>
                </c:pt>
                <c:pt idx="406">
                  <c:v>756.16178924676285</c:v>
                </c:pt>
                <c:pt idx="407">
                  <c:v>775.85216995563576</c:v>
                </c:pt>
                <c:pt idx="408">
                  <c:v>795.27633511498607</c:v>
                </c:pt>
                <c:pt idx="409">
                  <c:v>814.43910862387588</c:v>
                </c:pt>
                <c:pt idx="410">
                  <c:v>833.3451512520146</c:v>
                </c:pt>
                <c:pt idx="411">
                  <c:v>851.99896785385999</c:v>
                </c:pt>
                <c:pt idx="412">
                  <c:v>870.40491418257523</c:v>
                </c:pt>
                <c:pt idx="413">
                  <c:v>888.56720333030694</c:v>
                </c:pt>
                <c:pt idx="414">
                  <c:v>906.48991181921906</c:v>
                </c:pt>
                <c:pt idx="415">
                  <c:v>924.17698536586602</c:v>
                </c:pt>
                <c:pt idx="416">
                  <c:v>941.63224433979383</c:v>
                </c:pt>
                <c:pt idx="417">
                  <c:v>958.85938893571051</c:v>
                </c:pt>
                <c:pt idx="418">
                  <c:v>975.86200407714568</c:v>
                </c:pt>
                <c:pt idx="419">
                  <c:v>992.64356406822026</c:v>
                </c:pt>
                <c:pt idx="420">
                  <c:v>1009.2074370089531</c:v>
                </c:pt>
                <c:pt idx="421">
                  <c:v>1025.556888988435</c:v>
                </c:pt>
                <c:pt idx="422">
                  <c:v>1041.6950880691913</c:v>
                </c:pt>
                <c:pt idx="423">
                  <c:v>1057.6251080751292</c:v>
                </c:pt>
                <c:pt idx="424">
                  <c:v>1073.3499321946092</c:v>
                </c:pt>
                <c:pt idx="425">
                  <c:v>1088.8724564093955</c:v>
                </c:pt>
                <c:pt idx="426">
                  <c:v>1104.1954927595093</c:v>
                </c:pt>
                <c:pt idx="427">
                  <c:v>1119.3217724533451</c:v>
                </c:pt>
                <c:pt idx="428">
                  <c:v>1134.2539488317827</c:v>
                </c:pt>
                <c:pt idx="429">
                  <c:v>1148.9946001944597</c:v>
                </c:pt>
                <c:pt idx="430">
                  <c:v>1163.5462324958387</c:v>
                </c:pt>
                <c:pt idx="431">
                  <c:v>1177.9112819182071</c:v>
                </c:pt>
                <c:pt idx="432">
                  <c:v>1192.0921173282998</c:v>
                </c:pt>
                <c:pt idx="433">
                  <c:v>1206.0910426238049</c:v>
                </c:pt>
                <c:pt idx="434">
                  <c:v>1219.9102989756268</c:v>
                </c:pt>
                <c:pt idx="435">
                  <c:v>1233.5520669714122</c:v>
                </c:pt>
                <c:pt idx="436">
                  <c:v>1247.0184686655082</c:v>
                </c:pt>
                <c:pt idx="437">
                  <c:v>1260.311569540208</c:v>
                </c:pt>
                <c:pt idx="438">
                  <c:v>1273.4333803828417</c:v>
                </c:pt>
                <c:pt idx="439">
                  <c:v>1286.3858590830041</c:v>
                </c:pt>
                <c:pt idx="440">
                  <c:v>1299.1709123539486</c:v>
                </c:pt>
                <c:pt idx="441">
                  <c:v>1311.7903973819464</c:v>
                </c:pt>
                <c:pt idx="442">
                  <c:v>1324.2461234071841</c:v>
                </c:pt>
                <c:pt idx="443">
                  <c:v>1336.5398532395679</c:v>
                </c:pt>
                <c:pt idx="444">
                  <c:v>1348.6733047126083</c:v>
                </c:pt>
                <c:pt idx="445">
                  <c:v>1360.64815207838</c:v>
                </c:pt>
                <c:pt idx="446">
                  <c:v>1372.4660273463821</c:v>
                </c:pt>
                <c:pt idx="447">
                  <c:v>1384.1285215689654</c:v>
                </c:pt>
                <c:pt idx="448">
                  <c:v>1395.6371860758452</c:v>
                </c:pt>
                <c:pt idx="449">
                  <c:v>1406.9935336600806</c:v>
                </c:pt>
                <c:pt idx="450">
                  <c:v>1418.1990397177699</c:v>
                </c:pt>
                <c:pt idx="451">
                  <c:v>1429.2551433435904</c:v>
                </c:pt>
                <c:pt idx="452">
                  <c:v>1440.1632483841963</c:v>
                </c:pt>
                <c:pt idx="453">
                  <c:v>1450.9247244513811</c:v>
                </c:pt>
                <c:pt idx="454">
                  <c:v>1461.5409078968084</c:v>
                </c:pt>
                <c:pt idx="455">
                  <c:v>1472.0131027500249</c:v>
                </c:pt>
                <c:pt idx="456">
                  <c:v>1482.3425816213714</c:v>
                </c:pt>
                <c:pt idx="457">
                  <c:v>1492.5305865713342</c:v>
                </c:pt>
                <c:pt idx="458">
                  <c:v>1502.5783299477914</c:v>
                </c:pt>
                <c:pt idx="459">
                  <c:v>1512.4869951925396</c:v>
                </c:pt>
                <c:pt idx="460">
                  <c:v>1522.257737618414</c:v>
                </c:pt>
                <c:pt idx="461">
                  <c:v>1531.8916851582489</c:v>
                </c:pt>
                <c:pt idx="462">
                  <c:v>1541.3899390868651</c:v>
                </c:pt>
                <c:pt idx="463">
                  <c:v>1550.7535747172094</c:v>
                </c:pt>
                <c:pt idx="464">
                  <c:v>1559.9836420717181</c:v>
                </c:pt>
                <c:pt idx="465">
                  <c:v>1569.0811665299216</c:v>
                </c:pt>
                <c:pt idx="466">
                  <c:v>1578.047149453261</c:v>
                </c:pt>
                <c:pt idx="467">
                  <c:v>1586.8825687880378</c:v>
                </c:pt>
                <c:pt idx="468">
                  <c:v>1595.5883796473747</c:v>
                </c:pt>
                <c:pt idx="469">
                  <c:v>1604.1655148730251</c:v>
                </c:pt>
                <c:pt idx="470">
                  <c:v>1612.6148855778265</c:v>
                </c:pt>
                <c:pt idx="471">
                  <c:v>1620.9373816695575</c:v>
                </c:pt>
                <c:pt idx="472">
                  <c:v>1629.1338723569229</c:v>
                </c:pt>
                <c:pt idx="473">
                  <c:v>1637.2052066383576</c:v>
                </c:pt>
                <c:pt idx="474">
                  <c:v>1645.1522137743054</c:v>
                </c:pt>
                <c:pt idx="475">
                  <c:v>1652.9757037436036</c:v>
                </c:pt>
                <c:pt idx="476">
                  <c:v>1660.6764676845719</c:v>
                </c:pt>
                <c:pt idx="477">
                  <c:v>1668.2552783213789</c:v>
                </c:pt>
                <c:pt idx="478">
                  <c:v>1675.7128903762325</c:v>
                </c:pt>
                <c:pt idx="479">
                  <c:v>1683.0500409679162</c:v>
                </c:pt>
                <c:pt idx="480">
                  <c:v>1690.2674499971729</c:v>
                </c:pt>
                <c:pt idx="481">
                  <c:v>1697.3658205194104</c:v>
                </c:pt>
                <c:pt idx="482">
                  <c:v>1704.3458391051872</c:v>
                </c:pt>
                <c:pt idx="483">
                  <c:v>1711.2081761889158</c:v>
                </c:pt>
                <c:pt idx="484">
                  <c:v>1717.9534864061973</c:v>
                </c:pt>
                <c:pt idx="485">
                  <c:v>1724.5824089201926</c:v>
                </c:pt>
                <c:pt idx="486">
                  <c:v>1731.0955677374084</c:v>
                </c:pt>
                <c:pt idx="487">
                  <c:v>1737.4935720132667</c:v>
                </c:pt>
                <c:pt idx="488">
                  <c:v>1743.7770163478096</c:v>
                </c:pt>
                <c:pt idx="489">
                  <c:v>1749.9464810718737</c:v>
                </c:pt>
                <c:pt idx="490">
                  <c:v>1756.0025325240588</c:v>
                </c:pt>
                <c:pt idx="491">
                  <c:v>1761.9457233188</c:v>
                </c:pt>
                <c:pt idx="492">
                  <c:v>1767.7765926058394</c:v>
                </c:pt>
                <c:pt idx="493">
                  <c:v>1773.4956663213836</c:v>
                </c:pt>
                <c:pt idx="494">
                  <c:v>1779.1034574312209</c:v>
                </c:pt>
                <c:pt idx="495">
                  <c:v>1784.6004661660593</c:v>
                </c:pt>
                <c:pt idx="496">
                  <c:v>1789.9871802493417</c:v>
                </c:pt>
                <c:pt idx="497">
                  <c:v>1795.2640751177805</c:v>
                </c:pt>
                <c:pt idx="498">
                  <c:v>1800.4316141348445</c:v>
                </c:pt>
                <c:pt idx="499">
                  <c:v>1805.4902487974282</c:v>
                </c:pt>
                <c:pt idx="500">
                  <c:v>1810.4404189359184</c:v>
                </c:pt>
                <c:pt idx="501">
                  <c:v>1815.2825529078721</c:v>
                </c:pt>
                <c:pt idx="502">
                  <c:v>1820.0170677855076</c:v>
                </c:pt>
                <c:pt idx="503">
                  <c:v>1824.6443695372097</c:v>
                </c:pt>
                <c:pt idx="504">
                  <c:v>1829.1648532032395</c:v>
                </c:pt>
                <c:pt idx="505">
                  <c:v>1833.5789030658382</c:v>
                </c:pt>
                <c:pt idx="506">
                  <c:v>1837.8868928139068</c:v>
                </c:pt>
                <c:pt idx="507">
                  <c:v>1842.0891857024446</c:v>
                </c:pt>
                <c:pt idx="508">
                  <c:v>1846.1861347069193</c:v>
                </c:pt>
                <c:pt idx="509">
                  <c:v>1850.1780826727481</c:v>
                </c:pt>
                <c:pt idx="510">
                  <c:v>1854.0653624600616</c:v>
                </c:pt>
                <c:pt idx="511">
                  <c:v>1857.8482970839252</c:v>
                </c:pt>
                <c:pt idx="512">
                  <c:v>1861.5271998501953</c:v>
                </c:pt>
                <c:pt idx="513">
                  <c:v>1865.1023744871854</c:v>
                </c:pt>
                <c:pt idx="514">
                  <c:v>1868.5741152733283</c:v>
                </c:pt>
                <c:pt idx="515">
                  <c:v>1871.942707161021</c:v>
                </c:pt>
                <c:pt idx="516">
                  <c:v>1875.2084258968514</c:v>
                </c:pt>
                <c:pt idx="517">
                  <c:v>1878.3715381384143</c:v>
                </c:pt>
                <c:pt idx="518">
                  <c:v>1881.4323015679408</c:v>
                </c:pt>
                <c:pt idx="519">
                  <c:v>1884.3909650029818</c:v>
                </c:pt>
                <c:pt idx="520">
                  <c:v>1887.2477685044103</c:v>
                </c:pt>
                <c:pt idx="521">
                  <c:v>1890.0029434820349</c:v>
                </c:pt>
                <c:pt idx="522">
                  <c:v>1892.6567127981516</c:v>
                </c:pt>
                <c:pt idx="523">
                  <c:v>1895.2092908694053</c:v>
                </c:pt>
                <c:pt idx="524">
                  <c:v>1897.6608837673834</c:v>
                </c:pt>
                <c:pt idx="525">
                  <c:v>1900.011689318432</c:v>
                </c:pt>
                <c:pt idx="526">
                  <c:v>1902.2618972032606</c:v>
                </c:pt>
                <c:pt idx="527">
                  <c:v>1904.4116890570019</c:v>
                </c:pt>
                <c:pt idx="528">
                  <c:v>1906.4612385705093</c:v>
                </c:pt>
                <c:pt idx="529">
                  <c:v>1908.4107115938189</c:v>
                </c:pt>
                <c:pt idx="530">
                  <c:v>1910.260266242879</c:v>
                </c:pt>
                <c:pt idx="531">
                  <c:v>1912.0100530108571</c:v>
                </c:pt>
                <c:pt idx="532">
                  <c:v>1913.6602148855902</c:v>
                </c:pt>
                <c:pt idx="533">
                  <c:v>1915.2108874750452</c:v>
                </c:pt>
                <c:pt idx="534">
                  <c:v>1916.6621991430081</c:v>
                </c:pt>
                <c:pt idx="535">
                  <c:v>1918.0142711576364</c:v>
                </c:pt>
                <c:pt idx="536">
                  <c:v>1919.2672178559733</c:v>
                </c:pt>
                <c:pt idx="537">
                  <c:v>1920.421146828048</c:v>
                </c:pt>
                <c:pt idx="538">
                  <c:v>1921.47615912473</c:v>
                </c:pt>
                <c:pt idx="539">
                  <c:v>1922.4323494940593</c:v>
                </c:pt>
                <c:pt idx="540">
                  <c:v>1923.2898066512682</c:v>
                </c:pt>
                <c:pt idx="541">
                  <c:v>1924.0486135880608</c:v>
                </c:pt>
                <c:pt idx="542">
                  <c:v>1924.7088479268193</c:v>
                </c:pt>
                <c:pt idx="543">
                  <c:v>1925.2705823251067</c:v>
                </c:pt>
                <c:pt idx="544">
                  <c:v>1925.7338849349876</c:v>
                </c:pt>
                <c:pt idx="545">
                  <c:v>1926.098819920139</c:v>
                </c:pt>
                <c:pt idx="546">
                  <c:v>1926.3654480313908</c:v>
                </c:pt>
                <c:pt idx="547">
                  <c:v>1926.5338272382439</c:v>
                </c:pt>
                <c:pt idx="548">
                  <c:v>1926.6040134102664</c:v>
                </c:pt>
                <c:pt idx="549">
                  <c:v>1926.5760610384211</c:v>
                </c:pt>
                <c:pt idx="550">
                  <c:v>1926.4500239828867</c:v>
                </c:pt>
                <c:pt idx="551">
                  <c:v>1926.2259562313372</c:v>
                </c:pt>
                <c:pt idx="552">
                  <c:v>1925.9039126504497</c:v>
                </c:pt>
                <c:pt idx="553">
                  <c:v>1925.4839497138166</c:v>
                </c:pt>
                <c:pt idx="554">
                  <c:v>1924.9661261913986</c:v>
                </c:pt>
                <c:pt idx="555">
                  <c:v>1924.3505037887717</c:v>
                </c:pt>
                <c:pt idx="556">
                  <c:v>1923.6371477281789</c:v>
                </c:pt>
                <c:pt idx="557">
                  <c:v>1922.8261272672082</c:v>
                </c:pt>
                <c:pt idx="558">
                  <c:v>1921.9175161543301</c:v>
                </c:pt>
                <c:pt idx="559">
                  <c:v>1920.9113930232534</c:v>
                </c:pt>
                <c:pt idx="560">
                  <c:v>1919.8078417299937</c:v>
                </c:pt>
                <c:pt idx="561">
                  <c:v>1918.6069516377181</c:v>
                </c:pt>
                <c:pt idx="562">
                  <c:v>1917.308817854982</c:v>
                </c:pt>
                <c:pt idx="563">
                  <c:v>1915.913541433034</c:v>
                </c:pt>
                <c:pt idx="564">
                  <c:v>1914.4212295276163</c:v>
                </c:pt>
                <c:pt idx="565">
                  <c:v>1912.8319955302391</c:v>
                </c:pt>
                <c:pt idx="566">
                  <c:v>1911.1459591733683</c:v>
                </c:pt>
                <c:pt idx="567">
                  <c:v>1909.3632466134022</c:v>
                </c:pt>
                <c:pt idx="568">
                  <c:v>1907.4839904947689</c:v>
                </c:pt>
                <c:pt idx="569">
                  <c:v>1905.508329997974</c:v>
                </c:pt>
                <c:pt idx="570">
                  <c:v>1903.4364108739844</c:v>
                </c:pt>
                <c:pt idx="571">
                  <c:v>1901.2683854669472</c:v>
                </c:pt>
                <c:pt idx="572">
                  <c:v>1899.0044127269102</c:v>
                </c:pt>
                <c:pt idx="573">
                  <c:v>1896.6446582139386</c:v>
                </c:pt>
                <c:pt idx="574">
                  <c:v>1894.1892940947776</c:v>
                </c:pt>
                <c:pt idx="575">
                  <c:v>1891.6384991330322</c:v>
                </c:pt>
                <c:pt idx="576">
                  <c:v>1888.9924586736595</c:v>
                </c:pt>
                <c:pt idx="577">
                  <c:v>1886.2513646224493</c:v>
                </c:pt>
                <c:pt idx="578">
                  <c:v>1883.4154154210496</c:v>
                </c:pt>
                <c:pt idx="579">
                  <c:v>1880.4848160180125</c:v>
                </c:pt>
                <c:pt idx="580">
                  <c:v>1877.459777836254</c:v>
                </c:pt>
                <c:pt idx="581">
                  <c:v>1874.3405187372655</c:v>
                </c:pt>
                <c:pt idx="582">
                  <c:v>1871.127262982362</c:v>
                </c:pt>
                <c:pt idx="583">
                  <c:v>1867.8202411912127</c:v>
                </c:pt>
                <c:pt idx="584">
                  <c:v>1864.4196902978604</c:v>
                </c:pt>
                <c:pt idx="585">
                  <c:v>1860.9258535044144</c:v>
                </c:pt>
                <c:pt idx="586">
                  <c:v>1857.3389802325721</c:v>
                </c:pt>
                <c:pt idx="587">
                  <c:v>1853.6593260731083</c:v>
                </c:pt>
                <c:pt idx="588">
                  <c:v>1849.8871527334529</c:v>
                </c:pt>
                <c:pt idx="589">
                  <c:v>1846.0227279834653</c:v>
                </c:pt>
                <c:pt idx="590">
                  <c:v>1842.0663255995005</c:v>
                </c:pt>
                <c:pt idx="591">
                  <c:v>1838.018225306856</c:v>
                </c:pt>
                <c:pt idx="592">
                  <c:v>1833.8787127206756</c:v>
                </c:pt>
                <c:pt idx="593">
                  <c:v>1829.6480792853833</c:v>
                </c:pt>
                <c:pt idx="594">
                  <c:v>1825.3266222127129</c:v>
                </c:pt>
                <c:pt idx="595">
                  <c:v>1820.9146444183946</c:v>
                </c:pt>
                <c:pt idx="596">
                  <c:v>1816.4124544575561</c:v>
                </c:pt>
                <c:pt idx="597">
                  <c:v>1811.8203664588918</c:v>
                </c:pt>
                <c:pt idx="598">
                  <c:v>1807.1387000576501</c:v>
                </c:pt>
                <c:pt idx="599">
                  <c:v>1802.3677803274886</c:v>
                </c:pt>
                <c:pt idx="600">
                  <c:v>1797.5079377112415</c:v>
                </c:pt>
                <c:pt idx="601">
                  <c:v>1792.5595079506459</c:v>
                </c:pt>
                <c:pt idx="602">
                  <c:v>1787.5228320150661</c:v>
                </c:pt>
                <c:pt idx="603">
                  <c:v>1782.3982560292618</c:v>
                </c:pt>
                <c:pt idx="604">
                  <c:v>1777.1861312002361</c:v>
                </c:pt>
                <c:pt idx="605">
                  <c:v>1771.8868137432066</c:v>
                </c:pt>
                <c:pt idx="606">
                  <c:v>1766.5006648067342</c:v>
                </c:pt>
                <c:pt idx="607">
                  <c:v>1761.0280503970494</c:v>
                </c:pt>
                <c:pt idx="608">
                  <c:v>1755.4693413016128</c:v>
                </c:pt>
                <c:pt idx="609">
                  <c:v>1749.8249130119464</c:v>
                </c:pt>
                <c:pt idx="610">
                  <c:v>1744.0951456457697</c:v>
                </c:pt>
                <c:pt idx="611">
                  <c:v>1738.2804238684782</c:v>
                </c:pt>
                <c:pt idx="612">
                  <c:v>1732.3811368139982</c:v>
                </c:pt>
                <c:pt idx="613">
                  <c:v>1726.3976780050521</c:v>
                </c:pt>
                <c:pt idx="614">
                  <c:v>1720.3304452728692</c:v>
                </c:pt>
                <c:pt idx="615">
                  <c:v>1714.1798406763753</c:v>
                </c:pt>
                <c:pt idx="616">
                  <c:v>1707.9462704208943</c:v>
                </c:pt>
                <c:pt idx="617">
                  <c:v>1701.6301447763958</c:v>
                </c:pt>
                <c:pt idx="618">
                  <c:v>1695.2318779953216</c:v>
                </c:pt>
                <c:pt idx="619">
                  <c:v>1688.7518882300226</c:v>
                </c:pt>
                <c:pt idx="620">
                  <c:v>1682.1905974498395</c:v>
                </c:pt>
                <c:pt idx="621">
                  <c:v>1675.5484313578595</c:v>
                </c:pt>
                <c:pt idx="622">
                  <c:v>1668.8258193073791</c:v>
                </c:pt>
                <c:pt idx="623">
                  <c:v>1662.0231942181076</c:v>
                </c:pt>
                <c:pt idx="624">
                  <c:v>1655.1409924921395</c:v>
                </c:pt>
                <c:pt idx="625">
                  <c:v>1648.1796539297277</c:v>
                </c:pt>
                <c:pt idx="626">
                  <c:v>1641.1396216448893</c:v>
                </c:pt>
                <c:pt idx="627">
                  <c:v>1634.0213419808729</c:v>
                </c:pt>
                <c:pt idx="628">
                  <c:v>1626.8252644255183</c:v>
                </c:pt>
                <c:pt idx="629">
                  <c:v>1619.5518415265374</c:v>
                </c:pt>
                <c:pt idx="630">
                  <c:v>1612.2015288067471</c:v>
                </c:pt>
                <c:pt idx="631">
                  <c:v>1604.7747846792822</c:v>
                </c:pt>
                <c:pt idx="632">
                  <c:v>1597.2720703628174</c:v>
                </c:pt>
                <c:pt idx="633">
                  <c:v>1589.693849796827</c:v>
                </c:pt>
                <c:pt idx="634">
                  <c:v>1582.0405895569095</c:v>
                </c:pt>
                <c:pt idx="635">
                  <c:v>1574.3127587702068</c:v>
                </c:pt>
                <c:pt idx="636">
                  <c:v>1566.5108290309433</c:v>
                </c:pt>
                <c:pt idx="637">
                  <c:v>1558.6352743161124</c:v>
                </c:pt>
                <c:pt idx="638">
                  <c:v>1550.6865709013373</c:v>
                </c:pt>
                <c:pt idx="639">
                  <c:v>1542.665197276933</c:v>
                </c:pt>
                <c:pt idx="640">
                  <c:v>1534.5716340641932</c:v>
                </c:pt>
                <c:pt idx="641">
                  <c:v>1526.4063639319299</c:v>
                </c:pt>
                <c:pt idx="642">
                  <c:v>1518.1698715132891</c:v>
                </c:pt>
                <c:pt idx="643">
                  <c:v>1509.8626433228674</c:v>
                </c:pt>
                <c:pt idx="644">
                  <c:v>1501.4851676741537</c:v>
                </c:pt>
                <c:pt idx="645">
                  <c:v>1493.0379345973206</c:v>
                </c:pt>
                <c:pt idx="646">
                  <c:v>1484.5214357573868</c:v>
                </c:pt>
                <c:pt idx="647">
                  <c:v>1475.9361643727755</c:v>
                </c:pt>
                <c:pt idx="648">
                  <c:v>1467.2826151342886</c:v>
                </c:pt>
                <c:pt idx="649">
                  <c:v>1458.5612841245211</c:v>
                </c:pt>
                <c:pt idx="650">
                  <c:v>1449.7726687377358</c:v>
                </c:pt>
                <c:pt idx="651">
                  <c:v>1440.9172676002188</c:v>
                </c:pt>
                <c:pt idx="652">
                  <c:v>1431.9955804911372</c:v>
                </c:pt>
                <c:pt idx="653">
                  <c:v>1423.0081082639185</c:v>
                </c:pt>
                <c:pt idx="654">
                  <c:v>1413.9553527681715</c:v>
                </c:pt>
                <c:pt idx="655">
                  <c:v>1404.8378167721662</c:v>
                </c:pt>
                <c:pt idx="656">
                  <c:v>1395.6560038858945</c:v>
                </c:pt>
                <c:pt idx="657">
                  <c:v>1386.4104184847258</c:v>
                </c:pt>
                <c:pt idx="658">
                  <c:v>1377.1015656336772</c:v>
                </c:pt>
                <c:pt idx="659">
                  <c:v>1367.7299510123153</c:v>
                </c:pt>
                <c:pt idx="660">
                  <c:v>1358.2960808403056</c:v>
                </c:pt>
                <c:pt idx="661">
                  <c:v>1348.8004618036257</c:v>
                </c:pt>
                <c:pt idx="662">
                  <c:v>1339.2436009814562</c:v>
                </c:pt>
                <c:pt idx="663">
                  <c:v>1329.6260057737679</c:v>
                </c:pt>
                <c:pt idx="664">
                  <c:v>1319.9481838296163</c:v>
                </c:pt>
                <c:pt idx="665">
                  <c:v>1310.2106429761586</c:v>
                </c:pt>
                <c:pt idx="666">
                  <c:v>1300.4138911484079</c:v>
                </c:pt>
                <c:pt idx="667">
                  <c:v>1290.5584363197338</c:v>
                </c:pt>
                <c:pt idx="668">
                  <c:v>1280.644786433128</c:v>
                </c:pt>
                <c:pt idx="669">
                  <c:v>1270.6734493332401</c:v>
                </c:pt>
                <c:pt idx="670">
                  <c:v>1260.6449326991994</c:v>
                </c:pt>
                <c:pt idx="671">
                  <c:v>1250.5597439782334</c:v>
                </c:pt>
                <c:pt idx="672">
                  <c:v>1240.4183903200906</c:v>
                </c:pt>
                <c:pt idx="673">
                  <c:v>1230.2213785122804</c:v>
                </c:pt>
                <c:pt idx="674">
                  <c:v>1219.969214916139</c:v>
                </c:pt>
                <c:pt idx="675">
                  <c:v>1209.6624054037288</c:v>
                </c:pt>
                <c:pt idx="676">
                  <c:v>1199.3014552955819</c:v>
                </c:pt>
                <c:pt idx="677">
                  <c:v>1188.8868692992935</c:v>
                </c:pt>
                <c:pt idx="678">
                  <c:v>1178.4191514489748</c:v>
                </c:pt>
                <c:pt idx="679">
                  <c:v>1167.8988050455707</c:v>
                </c:pt>
                <c:pt idx="680">
                  <c:v>1157.3263325980502</c:v>
                </c:pt>
                <c:pt idx="681">
                  <c:v>1146.7022357654744</c:v>
                </c:pt>
                <c:pt idx="682">
                  <c:v>1136.0270152999492</c:v>
                </c:pt>
                <c:pt idx="683">
                  <c:v>1125.3011709904663</c:v>
                </c:pt>
                <c:pt idx="684">
                  <c:v>1114.5252016076386</c:v>
                </c:pt>
                <c:pt idx="685">
                  <c:v>1103.6996048493329</c:v>
                </c:pt>
                <c:pt idx="686">
                  <c:v>1092.8248772872055</c:v>
                </c:pt>
                <c:pt idx="687">
                  <c:v>1081.9015143141417</c:v>
                </c:pt>
                <c:pt idx="688">
                  <c:v>1070.9300100926052</c:v>
                </c:pt>
                <c:pt idx="689">
                  <c:v>1059.9108575038981</c:v>
                </c:pt>
                <c:pt idx="690">
                  <c:v>1048.8445480983321</c:v>
                </c:pt>
                <c:pt idx="691">
                  <c:v>1037.7315720463166</c:v>
                </c:pt>
                <c:pt idx="692">
                  <c:v>1026.5724180903624</c:v>
                </c:pt>
                <c:pt idx="693">
                  <c:v>1015.3675734980013</c:v>
                </c:pt>
                <c:pt idx="694">
                  <c:v>1004.1175240156247</c:v>
                </c:pt>
                <c:pt idx="695">
                  <c:v>992.82275382323849</c:v>
                </c:pt>
                <c:pt idx="696">
                  <c:v>981.48374549013693</c:v>
                </c:pt>
                <c:pt idx="697">
                  <c:v>970.10097993149213</c:v>
                </c:pt>
                <c:pt idx="698">
                  <c:v>958.67493636586028</c:v>
                </c:pt>
                <c:pt idx="699">
                  <c:v>947.20609227360205</c:v>
                </c:pt>
                <c:pt idx="700">
                  <c:v>935.69492335621669</c:v>
                </c:pt>
                <c:pt idx="701">
                  <c:v>924.14190349658634</c:v>
                </c:pt>
                <c:pt idx="702">
                  <c:v>912.54750472012961</c:v>
                </c:pt>
                <c:pt idx="703">
                  <c:v>900.91219715686111</c:v>
                </c:pt>
                <c:pt idx="704">
                  <c:v>889.23644900435397</c:v>
                </c:pt>
                <c:pt idx="705">
                  <c:v>877.52072649160266</c:v>
                </c:pt>
                <c:pt idx="706">
                  <c:v>865.76549384378131</c:v>
                </c:pt>
                <c:pt idx="707">
                  <c:v>853.97121324789543</c:v>
                </c:pt>
                <c:pt idx="708">
                  <c:v>842.13834481932122</c:v>
                </c:pt>
                <c:pt idx="709">
                  <c:v>830.26734656922895</c:v>
                </c:pt>
                <c:pt idx="710">
                  <c:v>818.35867437288573</c:v>
                </c:pt>
                <c:pt idx="711">
                  <c:v>806.41278193883238</c:v>
                </c:pt>
                <c:pt idx="712">
                  <c:v>794.43012077892934</c:v>
                </c:pt>
                <c:pt idx="713">
                  <c:v>782.41114017926611</c:v>
                </c:pt>
                <c:pt idx="714">
                  <c:v>770.35628717192878</c:v>
                </c:pt>
                <c:pt idx="715">
                  <c:v>758.26600650761952</c:v>
                </c:pt>
                <c:pt idx="716">
                  <c:v>746.14074062912164</c:v>
                </c:pt>
                <c:pt idx="717">
                  <c:v>733.98092964560465</c:v>
                </c:pt>
                <c:pt idx="718">
                  <c:v>721.78701130776165</c:v>
                </c:pt>
                <c:pt idx="719">
                  <c:v>709.55942098377329</c:v>
                </c:pt>
                <c:pt idx="720">
                  <c:v>697.29859163609115</c:v>
                </c:pt>
                <c:pt idx="721">
                  <c:v>685.00495379903271</c:v>
                </c:pt>
                <c:pt idx="722">
                  <c:v>672.67893555718103</c:v>
                </c:pt>
                <c:pt idx="723">
                  <c:v>660.32096252458246</c:v>
                </c:pt>
                <c:pt idx="724">
                  <c:v>647.93145782473323</c:v>
                </c:pt>
                <c:pt idx="725">
                  <c:v>635.51084207134818</c:v>
                </c:pt>
                <c:pt idx="726">
                  <c:v>623.0595333499034</c:v>
                </c:pt>
                <c:pt idx="727">
                  <c:v>610.57794719994445</c:v>
                </c:pt>
                <c:pt idx="728">
                  <c:v>598.06649659815241</c:v>
                </c:pt>
                <c:pt idx="729">
                  <c:v>585.52559194215905</c:v>
                </c:pt>
                <c:pt idx="730">
                  <c:v>572.95564103510253</c:v>
                </c:pt>
                <c:pt idx="731">
                  <c:v>560.35704907091588</c:v>
                </c:pt>
                <c:pt idx="732">
                  <c:v>547.73021862033795</c:v>
                </c:pt>
                <c:pt idx="733">
                  <c:v>535.07554961764004</c:v>
                </c:pt>
                <c:pt idx="734">
                  <c:v>522.39343934805765</c:v>
                </c:pt>
                <c:pt idx="735">
                  <c:v>509.68428243591944</c:v>
                </c:pt>
                <c:pt idx="736">
                  <c:v>496.94847083346383</c:v>
                </c:pt>
                <c:pt idx="737">
                  <c:v>484.18639381033415</c:v>
                </c:pt>
                <c:pt idx="738">
                  <c:v>471.39843794374332</c:v>
                </c:pt>
                <c:pt idx="739">
                  <c:v>458.58498710929871</c:v>
                </c:pt>
                <c:pt idx="740">
                  <c:v>445.74642247247806</c:v>
                </c:pt>
                <c:pt idx="741">
                  <c:v>432.88312248074652</c:v>
                </c:pt>
                <c:pt idx="742">
                  <c:v>419.99546285630623</c:v>
                </c:pt>
                <c:pt idx="743">
                  <c:v>407.0838165894682</c:v>
                </c:pt>
                <c:pt idx="744">
                  <c:v>394.14855393263758</c:v>
                </c:pt>
                <c:pt idx="745">
                  <c:v>381.19004239490249</c:v>
                </c:pt>
                <c:pt idx="746">
                  <c:v>368.20864673721695</c:v>
                </c:pt>
                <c:pt idx="747">
                  <c:v>355.20472896816852</c:v>
                </c:pt>
                <c:pt idx="748">
                  <c:v>342.17864834032065</c:v>
                </c:pt>
                <c:pt idx="749">
                  <c:v>329.13076134712071</c:v>
                </c:pt>
                <c:pt idx="750">
                  <c:v>316.06142172036385</c:v>
                </c:pt>
                <c:pt idx="751">
                  <c:v>302.97098042820272</c:v>
                </c:pt>
                <c:pt idx="752">
                  <c:v>289.85978567369443</c:v>
                </c:pt>
                <c:pt idx="753">
                  <c:v>276.72818289387408</c:v>
                </c:pt>
                <c:pt idx="754">
                  <c:v>263.57651475934608</c:v>
                </c:pt>
                <c:pt idx="755">
                  <c:v>250.40512117438362</c:v>
                </c:pt>
                <c:pt idx="756">
                  <c:v>237.21433927752619</c:v>
                </c:pt>
                <c:pt idx="757">
                  <c:v>224.00450344266642</c:v>
                </c:pt>
                <c:pt idx="758">
                  <c:v>210.77594528061636</c:v>
                </c:pt>
                <c:pt idx="759">
                  <c:v>197.52899364114376</c:v>
                </c:pt>
                <c:pt idx="760">
                  <c:v>184.26397461546912</c:v>
                </c:pt>
                <c:pt idx="761">
                  <c:v>170.98121153921414</c:v>
                </c:pt>
                <c:pt idx="762">
                  <c:v>157.68102499579197</c:v>
                </c:pt>
                <c:pt idx="763">
                  <c:v>144.36373282023041</c:v>
                </c:pt>
                <c:pt idx="764">
                  <c:v>131.02965010341862</c:v>
                </c:pt>
                <c:pt idx="765">
                  <c:v>117.67908919676805</c:v>
                </c:pt>
                <c:pt idx="766">
                  <c:v>104.31235971727882</c:v>
                </c:pt>
                <c:pt idx="767">
                  <c:v>90.929768553002205</c:v>
                </c:pt>
                <c:pt idx="768">
                  <c:v>77.531619868890274</c:v>
                </c:pt>
                <c:pt idx="769">
                  <c:v>64.118215113023922</c:v>
                </c:pt>
                <c:pt idx="770">
                  <c:v>50.689853023210226</c:v>
                </c:pt>
                <c:pt idx="771">
                  <c:v>37.246829633940479</c:v>
                </c:pt>
                <c:pt idx="772">
                  <c:v>23.789438283700058</c:v>
                </c:pt>
                <c:pt idx="773">
                  <c:v>10.317969622621556</c:v>
                </c:pt>
                <c:pt idx="774">
                  <c:v>-3.1672883795274487</c:v>
                </c:pt>
                <c:pt idx="775">
                  <c:v>-3.1807804672232578</c:v>
                </c:pt>
                <c:pt idx="776">
                  <c:v>-3.1942725682809878</c:v>
                </c:pt>
                <c:pt idx="777">
                  <c:v>-3.2077646827003581</c:v>
                </c:pt>
                <c:pt idx="778">
                  <c:v>-3.2212568104810879</c:v>
                </c:pt>
                <c:pt idx="779">
                  <c:v>-3.2347489516228962</c:v>
                </c:pt>
                <c:pt idx="780">
                  <c:v>-3.2482411061255019</c:v>
                </c:pt>
                <c:pt idx="781">
                  <c:v>-3.2617332739886242</c:v>
                </c:pt>
                <c:pt idx="782">
                  <c:v>-3.2752254552119826</c:v>
                </c:pt>
                <c:pt idx="783">
                  <c:v>-3.2887176497952959</c:v>
                </c:pt>
                <c:pt idx="784">
                  <c:v>-3.3022098577382835</c:v>
                </c:pt>
                <c:pt idx="785">
                  <c:v>-3.3157020790406646</c:v>
                </c:pt>
                <c:pt idx="786">
                  <c:v>-3.3291943137021582</c:v>
                </c:pt>
                <c:pt idx="787">
                  <c:v>-3.3426865617224837</c:v>
                </c:pt>
                <c:pt idx="788">
                  <c:v>-3.3561788231013598</c:v>
                </c:pt>
                <c:pt idx="789">
                  <c:v>-3.369671097838506</c:v>
                </c:pt>
                <c:pt idx="790">
                  <c:v>-3.3831633859336416</c:v>
                </c:pt>
                <c:pt idx="791">
                  <c:v>-3.3966556873864855</c:v>
                </c:pt>
                <c:pt idx="792">
                  <c:v>-3.410148002196757</c:v>
                </c:pt>
                <c:pt idx="793">
                  <c:v>-3.4236403303641754</c:v>
                </c:pt>
                <c:pt idx="794">
                  <c:v>-3.4371326718884596</c:v>
                </c:pt>
                <c:pt idx="795">
                  <c:v>-3.450625026769329</c:v>
                </c:pt>
                <c:pt idx="796">
                  <c:v>-3.464117395006503</c:v>
                </c:pt>
                <c:pt idx="797">
                  <c:v>-3.4776097765997003</c:v>
                </c:pt>
                <c:pt idx="798">
                  <c:v>-3.4911021715486403</c:v>
                </c:pt>
                <c:pt idx="799">
                  <c:v>-3.5045945798530425</c:v>
                </c:pt>
                <c:pt idx="800">
                  <c:v>-3.5180870015126255</c:v>
                </c:pt>
                <c:pt idx="801">
                  <c:v>-3.5315794365271089</c:v>
                </c:pt>
                <c:pt idx="802">
                  <c:v>-3.5450718848962119</c:v>
                </c:pt>
                <c:pt idx="803">
                  <c:v>-3.5585643466196539</c:v>
                </c:pt>
                <c:pt idx="804">
                  <c:v>-3.5720568216971538</c:v>
                </c:pt>
                <c:pt idx="805">
                  <c:v>-3.5855493101284308</c:v>
                </c:pt>
                <c:pt idx="806">
                  <c:v>-3.5990418119132044</c:v>
                </c:pt>
                <c:pt idx="807">
                  <c:v>-3.6125343270511934</c:v>
                </c:pt>
                <c:pt idx="808">
                  <c:v>-3.6260268555421171</c:v>
                </c:pt>
                <c:pt idx="809">
                  <c:v>-3.639519397385695</c:v>
                </c:pt>
                <c:pt idx="810">
                  <c:v>-3.6530119525816462</c:v>
                </c:pt>
                <c:pt idx="811">
                  <c:v>-3.6665045211296903</c:v>
                </c:pt>
                <c:pt idx="812">
                  <c:v>-3.679997103029546</c:v>
                </c:pt>
                <c:pt idx="813">
                  <c:v>-3.6934896982809327</c:v>
                </c:pt>
                <c:pt idx="814">
                  <c:v>-3.7069823068835697</c:v>
                </c:pt>
                <c:pt idx="815">
                  <c:v>-3.7204749288371759</c:v>
                </c:pt>
                <c:pt idx="816">
                  <c:v>-3.7339675641414711</c:v>
                </c:pt>
                <c:pt idx="817">
                  <c:v>-3.7474602127961743</c:v>
                </c:pt>
                <c:pt idx="818">
                  <c:v>-3.7609528748010046</c:v>
                </c:pt>
                <c:pt idx="819">
                  <c:v>-3.7744455501556815</c:v>
                </c:pt>
                <c:pt idx="820">
                  <c:v>-3.7879382388599239</c:v>
                </c:pt>
                <c:pt idx="821">
                  <c:v>-3.8014309409134515</c:v>
                </c:pt>
                <c:pt idx="822">
                  <c:v>-3.8149236563159832</c:v>
                </c:pt>
                <c:pt idx="823">
                  <c:v>-3.8284163850672384</c:v>
                </c:pt>
                <c:pt idx="824">
                  <c:v>-3.8419091271669363</c:v>
                </c:pt>
                <c:pt idx="825">
                  <c:v>-3.8554018826147964</c:v>
                </c:pt>
                <c:pt idx="826">
                  <c:v>-3.868894651410538</c:v>
                </c:pt>
                <c:pt idx="827">
                  <c:v>-3.8823874335538799</c:v>
                </c:pt>
                <c:pt idx="828">
                  <c:v>-3.895880229044542</c:v>
                </c:pt>
                <c:pt idx="829">
                  <c:v>-3.9093730378822431</c:v>
                </c:pt>
                <c:pt idx="830">
                  <c:v>-3.9228658600667026</c:v>
                </c:pt>
                <c:pt idx="831">
                  <c:v>-3.9363586955976397</c:v>
                </c:pt>
                <c:pt idx="832">
                  <c:v>-3.9498515444747739</c:v>
                </c:pt>
                <c:pt idx="833">
                  <c:v>-3.9633444066978245</c:v>
                </c:pt>
                <c:pt idx="834">
                  <c:v>-3.9768372822665103</c:v>
                </c:pt>
                <c:pt idx="835">
                  <c:v>-3.9903301711805512</c:v>
                </c:pt>
                <c:pt idx="836">
                  <c:v>-4.0038230734396665</c:v>
                </c:pt>
                <c:pt idx="837">
                  <c:v>-4.017315989043575</c:v>
                </c:pt>
                <c:pt idx="838">
                  <c:v>-4.0308089179919966</c:v>
                </c:pt>
                <c:pt idx="839">
                  <c:v>-4.0443018602846497</c:v>
                </c:pt>
                <c:pt idx="840">
                  <c:v>-4.0577948159212545</c:v>
                </c:pt>
                <c:pt idx="841">
                  <c:v>-4.0712877849015303</c:v>
                </c:pt>
                <c:pt idx="842">
                  <c:v>-4.0847807672251957</c:v>
                </c:pt>
                <c:pt idx="843">
                  <c:v>-4.0982737628919708</c:v>
                </c:pt>
                <c:pt idx="844">
                  <c:v>-4.111766771901574</c:v>
                </c:pt>
                <c:pt idx="845">
                  <c:v>-4.1252597942537257</c:v>
                </c:pt>
                <c:pt idx="846">
                  <c:v>-4.1387528299481442</c:v>
                </c:pt>
                <c:pt idx="847">
                  <c:v>-4.1522458789845498</c:v>
                </c:pt>
                <c:pt idx="848">
                  <c:v>-4.1657389413626609</c:v>
                </c:pt>
                <c:pt idx="849">
                  <c:v>-4.1792320170821977</c:v>
                </c:pt>
                <c:pt idx="850">
                  <c:v>-4.1927251061428787</c:v>
                </c:pt>
                <c:pt idx="851">
                  <c:v>-4.2062182085444242</c:v>
                </c:pt>
                <c:pt idx="852">
                  <c:v>-4.2197113242865525</c:v>
                </c:pt>
                <c:pt idx="853">
                  <c:v>-4.233204453368983</c:v>
                </c:pt>
                <c:pt idx="854">
                  <c:v>-4.2466975957914359</c:v>
                </c:pt>
                <c:pt idx="855">
                  <c:v>-4.2601907515536297</c:v>
                </c:pt>
                <c:pt idx="856">
                  <c:v>-4.2736839206552846</c:v>
                </c:pt>
                <c:pt idx="857">
                  <c:v>-4.2871771030961199</c:v>
                </c:pt>
                <c:pt idx="858">
                  <c:v>-4.3006702988758541</c:v>
                </c:pt>
                <c:pt idx="859">
                  <c:v>-4.3141635079942073</c:v>
                </c:pt>
                <c:pt idx="860">
                  <c:v>-4.3276567304508982</c:v>
                </c:pt>
                <c:pt idx="861">
                  <c:v>-4.3411499662456468</c:v>
                </c:pt>
                <c:pt idx="862">
                  <c:v>-4.3546432153781724</c:v>
                </c:pt>
                <c:pt idx="863">
                  <c:v>-4.3681364778481937</c:v>
                </c:pt>
                <c:pt idx="864">
                  <c:v>-4.3816297536554307</c:v>
                </c:pt>
                <c:pt idx="865">
                  <c:v>-4.3951230427996029</c:v>
                </c:pt>
                <c:pt idx="866">
                  <c:v>-4.4086163452804294</c:v>
                </c:pt>
                <c:pt idx="867">
                  <c:v>-4.4221096610976289</c:v>
                </c:pt>
                <c:pt idx="868">
                  <c:v>-4.4356029902509215</c:v>
                </c:pt>
                <c:pt idx="869">
                  <c:v>-4.4490963327400266</c:v>
                </c:pt>
                <c:pt idx="870">
                  <c:v>-4.4625896885646634</c:v>
                </c:pt>
                <c:pt idx="871">
                  <c:v>-4.4760830577245523</c:v>
                </c:pt>
                <c:pt idx="872">
                  <c:v>-4.4895764402194116</c:v>
                </c:pt>
                <c:pt idx="873">
                  <c:v>-4.5030698360489607</c:v>
                </c:pt>
                <c:pt idx="874">
                  <c:v>-4.516563245212919</c:v>
                </c:pt>
                <c:pt idx="875">
                  <c:v>-4.5300566677110066</c:v>
                </c:pt>
                <c:pt idx="876">
                  <c:v>-4.543550103542942</c:v>
                </c:pt>
                <c:pt idx="877">
                  <c:v>-4.5570435527084454</c:v>
                </c:pt>
                <c:pt idx="878">
                  <c:v>-4.5705370152072353</c:v>
                </c:pt>
                <c:pt idx="879">
                  <c:v>-4.5840304910390319</c:v>
                </c:pt>
                <c:pt idx="880">
                  <c:v>-4.5975239802035546</c:v>
                </c:pt>
                <c:pt idx="881">
                  <c:v>-4.6110174827005217</c:v>
                </c:pt>
                <c:pt idx="882">
                  <c:v>-4.6245109985296535</c:v>
                </c:pt>
                <c:pt idx="883">
                  <c:v>-4.6380045276906694</c:v>
                </c:pt>
                <c:pt idx="884">
                  <c:v>-4.6514980701832895</c:v>
                </c:pt>
                <c:pt idx="885">
                  <c:v>-4.6649916260072324</c:v>
                </c:pt>
                <c:pt idx="886">
                  <c:v>-4.6784851951622173</c:v>
                </c:pt>
                <c:pt idx="887">
                  <c:v>-4.6919787776479644</c:v>
                </c:pt>
                <c:pt idx="888">
                  <c:v>-4.7054723734641923</c:v>
                </c:pt>
                <c:pt idx="889">
                  <c:v>-4.7189659826106212</c:v>
                </c:pt>
                <c:pt idx="890">
                  <c:v>-4.7324596050869703</c:v>
                </c:pt>
                <c:pt idx="891">
                  <c:v>-4.745953240892959</c:v>
                </c:pt>
                <c:pt idx="892">
                  <c:v>-4.7594468900283067</c:v>
                </c:pt>
                <c:pt idx="893">
                  <c:v>-4.7729405524927326</c:v>
                </c:pt>
                <c:pt idx="894">
                  <c:v>-4.7864342282859562</c:v>
                </c:pt>
                <c:pt idx="895">
                  <c:v>-4.7999279174076968</c:v>
                </c:pt>
                <c:pt idx="896">
                  <c:v>-4.8134216198576745</c:v>
                </c:pt>
                <c:pt idx="897">
                  <c:v>-4.8269153356356087</c:v>
                </c:pt>
                <c:pt idx="898">
                  <c:v>-4.8404090647412188</c:v>
                </c:pt>
                <c:pt idx="899">
                  <c:v>-4.8539028071742241</c:v>
                </c:pt>
                <c:pt idx="900">
                  <c:v>-4.8673965629343439</c:v>
                </c:pt>
                <c:pt idx="901">
                  <c:v>-4.8808903320212975</c:v>
                </c:pt>
                <c:pt idx="902">
                  <c:v>-4.8943841144348044</c:v>
                </c:pt>
                <c:pt idx="903">
                  <c:v>-4.9078779101745846</c:v>
                </c:pt>
                <c:pt idx="904">
                  <c:v>-4.9213717192403577</c:v>
                </c:pt>
                <c:pt idx="905">
                  <c:v>-4.9348655416318428</c:v>
                </c:pt>
                <c:pt idx="906">
                  <c:v>-4.9483593773487593</c:v>
                </c:pt>
                <c:pt idx="907">
                  <c:v>-4.9618532263908266</c:v>
                </c:pt>
                <c:pt idx="908">
                  <c:v>-4.975347088757764</c:v>
                </c:pt>
                <c:pt idx="909">
                  <c:v>-4.9888409644492917</c:v>
                </c:pt>
                <c:pt idx="910">
                  <c:v>-5.0023348534651291</c:v>
                </c:pt>
                <c:pt idx="911">
                  <c:v>-5.0158287558049945</c:v>
                </c:pt>
                <c:pt idx="912">
                  <c:v>-5.0293226714686092</c:v>
                </c:pt>
                <c:pt idx="913">
                  <c:v>-5.0428166004556916</c:v>
                </c:pt>
                <c:pt idx="914">
                  <c:v>-5.0563105427659609</c:v>
                </c:pt>
                <c:pt idx="915">
                  <c:v>-5.0698044983991375</c:v>
                </c:pt>
                <c:pt idx="916">
                  <c:v>-5.0832984673549406</c:v>
                </c:pt>
                <c:pt idx="917">
                  <c:v>-5.0967924496330896</c:v>
                </c:pt>
                <c:pt idx="918">
                  <c:v>-5.1102864452333039</c:v>
                </c:pt>
                <c:pt idx="919">
                  <c:v>-5.1237804541553036</c:v>
                </c:pt>
                <c:pt idx="920">
                  <c:v>-5.1372744763988072</c:v>
                </c:pt>
                <c:pt idx="921">
                  <c:v>-5.1507685119635349</c:v>
                </c:pt>
                <c:pt idx="922">
                  <c:v>-5.1642625608492061</c:v>
                </c:pt>
                <c:pt idx="923">
                  <c:v>-5.1777566230555401</c:v>
                </c:pt>
                <c:pt idx="924">
                  <c:v>-5.1912506985822571</c:v>
                </c:pt>
                <c:pt idx="925">
                  <c:v>-5.2047447874290764</c:v>
                </c:pt>
                <c:pt idx="926">
                  <c:v>-5.2182388895957175</c:v>
                </c:pt>
                <c:pt idx="927">
                  <c:v>-5.2317330050818995</c:v>
                </c:pt>
                <c:pt idx="928">
                  <c:v>-5.245227133887342</c:v>
                </c:pt>
                <c:pt idx="929">
                  <c:v>-5.258721276011765</c:v>
                </c:pt>
                <c:pt idx="930">
                  <c:v>-5.2722154314548879</c:v>
                </c:pt>
                <c:pt idx="931">
                  <c:v>-5.2857096002164301</c:v>
                </c:pt>
                <c:pt idx="932">
                  <c:v>-5.2992037822961109</c:v>
                </c:pt>
                <c:pt idx="933">
                  <c:v>-5.3126979776936505</c:v>
                </c:pt>
                <c:pt idx="934">
                  <c:v>-5.3261921864087682</c:v>
                </c:pt>
                <c:pt idx="935">
                  <c:v>-5.3396864084411835</c:v>
                </c:pt>
                <c:pt idx="936">
                  <c:v>-5.3531806437906155</c:v>
                </c:pt>
                <c:pt idx="937">
                  <c:v>-5.3666748924567846</c:v>
                </c:pt>
                <c:pt idx="938">
                  <c:v>-5.3801691544394092</c:v>
                </c:pt>
                <c:pt idx="939">
                  <c:v>-5.3936634297382096</c:v>
                </c:pt>
                <c:pt idx="940">
                  <c:v>-5.4071577183529058</c:v>
                </c:pt>
                <c:pt idx="941">
                  <c:v>-5.4206520202832165</c:v>
                </c:pt>
                <c:pt idx="942">
                  <c:v>-5.4341463355288617</c:v>
                </c:pt>
                <c:pt idx="943">
                  <c:v>-5.4476406640895618</c:v>
                </c:pt>
                <c:pt idx="944">
                  <c:v>-5.4611350059650352</c:v>
                </c:pt>
                <c:pt idx="945">
                  <c:v>-5.4746293611550021</c:v>
                </c:pt>
                <c:pt idx="946">
                  <c:v>-5.4881237296591818</c:v>
                </c:pt>
                <c:pt idx="947">
                  <c:v>-5.5016181114772937</c:v>
                </c:pt>
                <c:pt idx="948">
                  <c:v>-5.5151125066090581</c:v>
                </c:pt>
                <c:pt idx="949">
                  <c:v>-5.5286069150541941</c:v>
                </c:pt>
                <c:pt idx="950">
                  <c:v>-5.5421013368124212</c:v>
                </c:pt>
                <c:pt idx="951">
                  <c:v>-5.5555957718834588</c:v>
                </c:pt>
                <c:pt idx="952">
                  <c:v>-5.5690902202670269</c:v>
                </c:pt>
                <c:pt idx="953">
                  <c:v>-5.5825846819628451</c:v>
                </c:pt>
                <c:pt idx="954">
                  <c:v>-5.5960791569706325</c:v>
                </c:pt>
                <c:pt idx="955">
                  <c:v>-5.6095736452901095</c:v>
                </c:pt>
                <c:pt idx="956">
                  <c:v>-5.6230681469209953</c:v>
                </c:pt>
                <c:pt idx="957">
                  <c:v>-5.6365626618630094</c:v>
                </c:pt>
                <c:pt idx="958">
                  <c:v>-5.6500571901158718</c:v>
                </c:pt>
                <c:pt idx="959">
                  <c:v>-5.663551731679302</c:v>
                </c:pt>
                <c:pt idx="960">
                  <c:v>-5.6770462865530193</c:v>
                </c:pt>
                <c:pt idx="961">
                  <c:v>-5.690540854736744</c:v>
                </c:pt>
                <c:pt idx="962">
                  <c:v>-5.7040354362301953</c:v>
                </c:pt>
                <c:pt idx="963">
                  <c:v>-5.7175300310330925</c:v>
                </c:pt>
                <c:pt idx="964">
                  <c:v>-5.731024639145156</c:v>
                </c:pt>
                <c:pt idx="965">
                  <c:v>-5.7445192605661051</c:v>
                </c:pt>
                <c:pt idx="966">
                  <c:v>-5.758013895295659</c:v>
                </c:pt>
                <c:pt idx="967">
                  <c:v>-5.771508543333538</c:v>
                </c:pt>
                <c:pt idx="968">
                  <c:v>-5.7850032046794606</c:v>
                </c:pt>
                <c:pt idx="969">
                  <c:v>-5.7984978793331479</c:v>
                </c:pt>
                <c:pt idx="970">
                  <c:v>-5.8119925672943182</c:v>
                </c:pt>
                <c:pt idx="971">
                  <c:v>-5.8254872685626928</c:v>
                </c:pt>
                <c:pt idx="972">
                  <c:v>-5.8389819831379901</c:v>
                </c:pt>
                <c:pt idx="973">
                  <c:v>-5.8524767110199303</c:v>
                </c:pt>
                <c:pt idx="974">
                  <c:v>-5.8659714522082327</c:v>
                </c:pt>
                <c:pt idx="975">
                  <c:v>-5.8794662067026167</c:v>
                </c:pt>
                <c:pt idx="976">
                  <c:v>-5.8929609745028024</c:v>
                </c:pt>
                <c:pt idx="977">
                  <c:v>-5.9064557556085093</c:v>
                </c:pt>
                <c:pt idx="978">
                  <c:v>-5.9199505500194576</c:v>
                </c:pt>
                <c:pt idx="979">
                  <c:v>-5.9334453577353665</c:v>
                </c:pt>
                <c:pt idx="980">
                  <c:v>-5.9469401787559555</c:v>
                </c:pt>
                <c:pt idx="981">
                  <c:v>-5.9604350130809447</c:v>
                </c:pt>
                <c:pt idx="982">
                  <c:v>-5.9739298607100535</c:v>
                </c:pt>
                <c:pt idx="983">
                  <c:v>-5.9874247216430021</c:v>
                </c:pt>
                <c:pt idx="984">
                  <c:v>-6.0009195958795098</c:v>
                </c:pt>
                <c:pt idx="985">
                  <c:v>-6.0144144834192961</c:v>
                </c:pt>
                <c:pt idx="986">
                  <c:v>-6.027909384262081</c:v>
                </c:pt>
                <c:pt idx="987">
                  <c:v>-6.041404298407584</c:v>
                </c:pt>
                <c:pt idx="988">
                  <c:v>-6.0548992258555243</c:v>
                </c:pt>
                <c:pt idx="989">
                  <c:v>-6.0683941666056223</c:v>
                </c:pt>
                <c:pt idx="990">
                  <c:v>-6.081889120657598</c:v>
                </c:pt>
                <c:pt idx="991">
                  <c:v>-6.09538408801117</c:v>
                </c:pt>
                <c:pt idx="992">
                  <c:v>-6.1088790686660586</c:v>
                </c:pt>
                <c:pt idx="993">
                  <c:v>-6.1223740626219838</c:v>
                </c:pt>
                <c:pt idx="994">
                  <c:v>-6.1358690698786651</c:v>
                </c:pt>
                <c:pt idx="995">
                  <c:v>-6.1493640904358227</c:v>
                </c:pt>
                <c:pt idx="996">
                  <c:v>-6.162859124293175</c:v>
                </c:pt>
                <c:pt idx="997">
                  <c:v>-6.1763541714504431</c:v>
                </c:pt>
                <c:pt idx="998">
                  <c:v>-6.1898492319073455</c:v>
                </c:pt>
                <c:pt idx="999">
                  <c:v>-6.2033443056636033</c:v>
                </c:pt>
                <c:pt idx="1000">
                  <c:v>-6.2168393927189349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C-E84B-8A2E-77A3E8DE6A60}"/>
            </c:ext>
          </c:extLst>
        </c:ser>
        <c:ser>
          <c:idx val="1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1.3233354686966879E-4</c:v>
                </c:pt>
                <c:pt idx="2">
                  <c:v>1.7678971011637825E-3</c:v>
                </c:pt>
                <c:pt idx="3">
                  <c:v>7.3846649585392532E-3</c:v>
                </c:pt>
                <c:pt idx="4">
                  <c:v>1.9462765294790782E-2</c:v>
                </c:pt>
                <c:pt idx="5">
                  <c:v>4.0485388323537631E-2</c:v>
                </c:pt>
                <c:pt idx="6">
                  <c:v>7.2311495227104908E-2</c:v>
                </c:pt>
                <c:pt idx="7">
                  <c:v>0.11554661406552218</c:v>
                </c:pt>
                <c:pt idx="8">
                  <c:v>0.17016875077340787</c:v>
                </c:pt>
                <c:pt idx="9">
                  <c:v>0.23615576217981632</c:v>
                </c:pt>
                <c:pt idx="10">
                  <c:v>0.3134853564423159</c:v>
                </c:pt>
                <c:pt idx="11">
                  <c:v>0.40213509348839366</c:v>
                </c:pt>
                <c:pt idx="12">
                  <c:v>0.5020823854641463</c:v>
                </c:pt>
                <c:pt idx="13">
                  <c:v>0.61330449719021651</c:v>
                </c:pt>
                <c:pt idx="14">
                  <c:v>0.73577854662493314</c:v>
                </c:pt>
                <c:pt idx="15">
                  <c:v>0.86948150533461188</c:v>
                </c:pt>
                <c:pt idx="16">
                  <c:v>1.0143901989709738</c:v>
                </c:pt>
                <c:pt idx="17">
                  <c:v>1.1704813077556369</c:v>
                </c:pt>
                <c:pt idx="18">
                  <c:v>1.3377313669716355</c:v>
                </c:pt>
                <c:pt idx="19">
                  <c:v>1.5161167674619227</c:v>
                </c:pt>
                <c:pt idx="20">
                  <c:v>1.705613756134807</c:v>
                </c:pt>
                <c:pt idx="21">
                  <c:v>1.9061984364762792</c:v>
                </c:pt>
                <c:pt idx="22">
                  <c:v>2.1178467690691769</c:v>
                </c:pt>
                <c:pt idx="23">
                  <c:v>2.3405345721191422</c:v>
                </c:pt>
                <c:pt idx="24">
                  <c:v>2.5742375219873179</c:v>
                </c:pt>
                <c:pt idx="25">
                  <c:v>2.8189311537297388</c:v>
                </c:pt>
                <c:pt idx="26">
                  <c:v>3.0745908616433573</c:v>
                </c:pt>
                <c:pt idx="27">
                  <c:v>3.3411918998186607</c:v>
                </c:pt>
                <c:pt idx="28">
                  <c:v>3.6187093826988224</c:v>
                </c:pt>
                <c:pt idx="29">
                  <c:v>3.9071182856453341</c:v>
                </c:pt>
                <c:pt idx="30">
                  <c:v>4.2063934455100664</c:v>
                </c:pt>
                <c:pt idx="31">
                  <c:v>4.5165058330928476</c:v>
                </c:pt>
                <c:pt idx="32">
                  <c:v>4.8374261449249225</c:v>
                </c:pt>
                <c:pt idx="33">
                  <c:v>5.1691285340213797</c:v>
                </c:pt>
                <c:pt idx="34">
                  <c:v>5.5115870234091933</c:v>
                </c:pt>
                <c:pt idx="35">
                  <c:v>5.8647755085918361</c:v>
                </c:pt>
                <c:pt idx="36">
                  <c:v>6.2286677577231684</c:v>
                </c:pt>
                <c:pt idx="37">
                  <c:v>6.6032374118248418</c:v>
                </c:pt>
                <c:pt idx="38">
                  <c:v>6.9884579850429116</c:v>
                </c:pt>
                <c:pt idx="39">
                  <c:v>7.3843028649399383</c:v>
                </c:pt>
                <c:pt idx="40">
                  <c:v>7.7907453128193618</c:v>
                </c:pt>
                <c:pt idx="41">
                  <c:v>8.207758464079328</c:v>
                </c:pt>
                <c:pt idx="42">
                  <c:v>8.6353153285935189</c:v>
                </c:pt>
                <c:pt idx="43">
                  <c:v>9.0733887911168214</c:v>
                </c:pt>
                <c:pt idx="44">
                  <c:v>9.5219516117139342</c:v>
                </c:pt>
                <c:pt idx="45">
                  <c:v>9.9809764262092102</c:v>
                </c:pt>
                <c:pt idx="46">
                  <c:v>10.45043574665625</c:v>
                </c:pt>
                <c:pt idx="47">
                  <c:v>10.930301961825897</c:v>
                </c:pt>
                <c:pt idx="48">
                  <c:v>11.420547337711429</c:v>
                </c:pt>
                <c:pt idx="49">
                  <c:v>11.921144018049887</c:v>
                </c:pt>
                <c:pt idx="50">
                  <c:v>12.432064024858539</c:v>
                </c:pt>
                <c:pt idx="51">
                  <c:v>12.953282582380416</c:v>
                </c:pt>
                <c:pt idx="52">
                  <c:v>13.484781447029643</c:v>
                </c:pt>
                <c:pt idx="53">
                  <c:v>14.026545592720122</c:v>
                </c:pt>
                <c:pt idx="54">
                  <c:v>14.578559890023286</c:v>
                </c:pt>
                <c:pt idx="55">
                  <c:v>15.140809106374764</c:v>
                </c:pt>
                <c:pt idx="56">
                  <c:v>15.713277906290934</c:v>
                </c:pt>
                <c:pt idx="57">
                  <c:v>16.295950851594956</c:v>
                </c:pt>
                <c:pt idx="58">
                  <c:v>16.888812401651926</c:v>
                </c:pt>
                <c:pt idx="59">
                  <c:v>17.49184691361279</c:v>
                </c:pt>
                <c:pt idx="60">
                  <c:v>18.105038642666727</c:v>
                </c:pt>
                <c:pt idx="61">
                  <c:v>18.728371742301682</c:v>
                </c:pt>
                <c:pt idx="62">
                  <c:v>19.361830264572792</c:v>
                </c:pt>
                <c:pt idx="63">
                  <c:v>20.005398160378441</c:v>
                </c:pt>
                <c:pt idx="64">
                  <c:v>20.659059279743751</c:v>
                </c:pt>
                <c:pt idx="65">
                  <c:v>21.322797372111214</c:v>
                </c:pt>
                <c:pt idx="66">
                  <c:v>21.996596086638341</c:v>
                </c:pt>
                <c:pt idx="67">
                  <c:v>22.680438972502074</c:v>
                </c:pt>
                <c:pt idx="68">
                  <c:v>23.37430947920981</c:v>
                </c:pt>
                <c:pt idx="69">
                  <c:v>24.078190956916874</c:v>
                </c:pt>
                <c:pt idx="70">
                  <c:v>24.792066656750261</c:v>
                </c:pt>
                <c:pt idx="71">
                  <c:v>25.515919731138499</c:v>
                </c:pt>
                <c:pt idx="72">
                  <c:v>26.249733234147506</c:v>
                </c:pt>
                <c:pt idx="73">
                  <c:v>26.99349012182228</c:v>
                </c:pt>
                <c:pt idx="74">
                  <c:v>27.747173252534331</c:v>
                </c:pt>
                <c:pt idx="75">
                  <c:v>28.510765387334679</c:v>
                </c:pt>
                <c:pt idx="76">
                  <c:v>29.284249190312352</c:v>
                </c:pt>
                <c:pt idx="77">
                  <c:v>30.067607228958231</c:v>
                </c:pt>
                <c:pt idx="78">
                  <c:v>30.860821974534179</c:v>
                </c:pt>
                <c:pt idx="79">
                  <c:v>31.663875802447297</c:v>
                </c:pt>
                <c:pt idx="80">
                  <c:v>32.476750992629256</c:v>
                </c:pt>
                <c:pt idx="81">
                  <c:v>33.299429729920583</c:v>
                </c:pt>
                <c:pt idx="82">
                  <c:v>34.131894104459818</c:v>
                </c:pt>
                <c:pt idx="83">
                  <c:v>34.97412611207745</c:v>
                </c:pt>
                <c:pt idx="84">
                  <c:v>35.826107654694546</c:v>
                </c:pt>
                <c:pt idx="85">
                  <c:v>36.687820540726001</c:v>
                </c:pt>
                <c:pt idx="86">
                  <c:v>37.559246485488302</c:v>
                </c:pt>
                <c:pt idx="87">
                  <c:v>38.440367111611778</c:v>
                </c:pt>
                <c:pt idx="88">
                  <c:v>39.331163949457171</c:v>
                </c:pt>
                <c:pt idx="89">
                  <c:v>40.231618437536575</c:v>
                </c:pt>
                <c:pt idx="90">
                  <c:v>41.141711922938555</c:v>
                </c:pt>
                <c:pt idx="91">
                  <c:v>42.061425661757454</c:v>
                </c:pt>
                <c:pt idx="92">
                  <c:v>42.990740819526756</c:v>
                </c:pt>
                <c:pt idx="93">
                  <c:v>43.929638471656531</c:v>
                </c:pt>
                <c:pt idx="94">
                  <c:v>44.878099603874766</c:v>
                </c:pt>
                <c:pt idx="95">
                  <c:v>45.836105112672634</c:v>
                </c:pt>
                <c:pt idx="96">
                  <c:v>46.803635805753579</c:v>
                </c:pt>
                <c:pt idx="97">
                  <c:v>47.780672402486154</c:v>
                </c:pt>
                <c:pt idx="98">
                  <c:v>48.767195534360567</c:v>
                </c:pt>
                <c:pt idx="99">
                  <c:v>49.76318574544888</c:v>
                </c:pt>
                <c:pt idx="100">
                  <c:v>50.76862349286877</c:v>
                </c:pt>
                <c:pt idx="101">
                  <c:v>51.783487606594051</c:v>
                </c:pt>
                <c:pt idx="102">
                  <c:v>52.807753747314081</c:v>
                </c:pt>
                <c:pt idx="103">
                  <c:v>53.841395945364965</c:v>
                </c:pt>
                <c:pt idx="104">
                  <c:v>54.884388141708492</c:v>
                </c:pt>
                <c:pt idx="105">
                  <c:v>55.936704188592621</c:v>
                </c:pt>
                <c:pt idx="106">
                  <c:v>56.998317850215017</c:v>
                </c:pt>
                <c:pt idx="107">
                  <c:v>58.069202803389466</c:v>
                </c:pt>
                <c:pt idx="108">
                  <c:v>59.149332638215199</c:v>
                </c:pt>
                <c:pt idx="109">
                  <c:v>60.238680858748971</c:v>
                </c:pt>
                <c:pt idx="110">
                  <c:v>61.337220883679876</c:v>
                </c:pt>
                <c:pt idx="111">
                  <c:v>62.444926047006803</c:v>
                </c:pt>
                <c:pt idx="112">
                  <c:v>63.561769598718449</c:v>
                </c:pt>
                <c:pt idx="113">
                  <c:v>64.68772470547583</c:v>
                </c:pt>
                <c:pt idx="114">
                  <c:v>65.822764451297246</c:v>
                </c:pt>
                <c:pt idx="115">
                  <c:v>66.966861838245549</c:v>
                </c:pt>
                <c:pt idx="116">
                  <c:v>68.11998978711776</c:v>
                </c:pt>
                <c:pt idx="117">
                  <c:v>69.282121138136816</c:v>
                </c:pt>
                <c:pt idx="118">
                  <c:v>70.453228651645574</c:v>
                </c:pt>
                <c:pt idx="119">
                  <c:v>71.633285008802815</c:v>
                </c:pt>
                <c:pt idx="120">
                  <c:v>72.822262812281238</c:v>
                </c:pt>
                <c:pt idx="121">
                  <c:v>74.020134586967501</c:v>
                </c:pt>
                <c:pt idx="122">
                  <c:v>75.22687278066401</c:v>
                </c:pt>
                <c:pt idx="123">
                  <c:v>76.442449764792599</c:v>
                </c:pt>
                <c:pt idx="124">
                  <c:v>77.666837835099912</c:v>
                </c:pt>
                <c:pt idx="125">
                  <c:v>78.900009212364466</c:v>
                </c:pt>
                <c:pt idx="126">
                  <c:v>80.141936043105346</c:v>
                </c:pt>
                <c:pt idx="127">
                  <c:v>81.392590400292406</c:v>
                </c:pt>
                <c:pt idx="128">
                  <c:v>82.651944284057933</c:v>
                </c:pt>
                <c:pt idx="129">
                  <c:v>83.919969622409795</c:v>
                </c:pt>
                <c:pt idx="130">
                  <c:v>85.196638271945858</c:v>
                </c:pt>
                <c:pt idx="131">
                  <c:v>86.481922018569733</c:v>
                </c:pt>
                <c:pt idx="132">
                  <c:v>87.775792578207728</c:v>
                </c:pt>
                <c:pt idx="133">
                  <c:v>89.07822159752692</c:v>
                </c:pt>
                <c:pt idx="134">
                  <c:v>90.38918065465441</c:v>
                </c:pt>
                <c:pt idx="135">
                  <c:v>91.708641259897504</c:v>
                </c:pt>
                <c:pt idx="136">
                  <c:v>93.036574856464924</c:v>
                </c:pt>
                <c:pt idx="137">
                  <c:v>94.372952821188889</c:v>
                </c:pt>
                <c:pt idx="138">
                  <c:v>95.717746465248098</c:v>
                </c:pt>
                <c:pt idx="139">
                  <c:v>97.070927034891398</c:v>
                </c:pt>
                <c:pt idx="140">
                  <c:v>98.432465712162269</c:v>
                </c:pt>
                <c:pt idx="141">
                  <c:v>99.80233361562388</c:v>
                </c:pt>
                <c:pt idx="142">
                  <c:v>101.18050180108484</c:v>
                </c:pt>
                <c:pt idx="143">
                  <c:v>102.56694126232541</c:v>
                </c:pt>
                <c:pt idx="144">
                  <c:v>103.96162293182422</c:v>
                </c:pt>
                <c:pt idx="145">
                  <c:v>105.36451768148538</c:v>
                </c:pt>
                <c:pt idx="146">
                  <c:v>106.77559632336603</c:v>
                </c:pt>
                <c:pt idx="147">
                  <c:v>108.19482961040408</c:v>
                </c:pt>
                <c:pt idx="148">
                  <c:v>109.62218823714632</c:v>
                </c:pt>
                <c:pt idx="149">
                  <c:v>111.05764284047656</c:v>
                </c:pt>
                <c:pt idx="150">
                  <c:v>112.50116400034405</c:v>
                </c:pt>
                <c:pt idx="151">
                  <c:v>113.95272276739166</c:v>
                </c:pt>
                <c:pt idx="152">
                  <c:v>115.41229119093816</c:v>
                </c:pt>
                <c:pt idx="153">
                  <c:v>116.87984179297801</c:v>
                </c:pt>
                <c:pt idx="154">
                  <c:v>118.35534704179793</c:v>
                </c:pt>
                <c:pt idx="155">
                  <c:v>119.83877935264707</c:v>
                </c:pt>
                <c:pt idx="156">
                  <c:v>121.33011108840719</c:v>
                </c:pt>
                <c:pt idx="157">
                  <c:v>122.8293145602629</c:v>
                </c:pt>
                <c:pt idx="158">
                  <c:v>124.33636202837172</c:v>
                </c:pt>
                <c:pt idx="159">
                  <c:v>125.85122570253425</c:v>
                </c:pt>
                <c:pt idx="160">
                  <c:v>127.37387774286398</c:v>
                </c:pt>
                <c:pt idx="161">
                  <c:v>128.90429026045709</c:v>
                </c:pt>
                <c:pt idx="162">
                  <c:v>130.44243531806183</c:v>
                </c:pt>
                <c:pt idx="163">
                  <c:v>131.98828493074782</c:v>
                </c:pt>
                <c:pt idx="164">
                  <c:v>133.54181106657484</c:v>
                </c:pt>
                <c:pt idx="165">
                  <c:v>135.10298564726125</c:v>
                </c:pt>
                <c:pt idx="166">
                  <c:v>136.6717805488521</c:v>
                </c:pt>
                <c:pt idx="167">
                  <c:v>138.24816760238656</c:v>
                </c:pt>
                <c:pt idx="168">
                  <c:v>139.83211859456503</c:v>
                </c:pt>
                <c:pt idx="169">
                  <c:v>141.42360526841551</c:v>
                </c:pt>
                <c:pt idx="170">
                  <c:v>143.0225993239595</c:v>
                </c:pt>
                <c:pt idx="171">
                  <c:v>144.62907241887703</c:v>
                </c:pt>
                <c:pt idx="172">
                  <c:v>146.24299616917116</c:v>
                </c:pt>
                <c:pt idx="173">
                  <c:v>147.86434214983169</c:v>
                </c:pt>
                <c:pt idx="174">
                  <c:v>149.49308189549794</c:v>
                </c:pt>
                <c:pt idx="175">
                  <c:v>151.12918690112082</c:v>
                </c:pt>
                <c:pt idx="176">
                  <c:v>152.77262862262401</c:v>
                </c:pt>
                <c:pt idx="177">
                  <c:v>154.42337847756406</c:v>
                </c:pt>
                <c:pt idx="178">
                  <c:v>156.08140784578967</c:v>
                </c:pt>
                <c:pt idx="179">
                  <c:v>157.74668807009985</c:v>
                </c:pt>
                <c:pt idx="180">
                  <c:v>159.41919045690108</c:v>
                </c:pt>
                <c:pt idx="181">
                  <c:v>161.09888627686325</c:v>
                </c:pt>
                <c:pt idx="182">
                  <c:v>162.78574676557466</c:v>
                </c:pt>
                <c:pt idx="183">
                  <c:v>164.47974312419555</c:v>
                </c:pt>
                <c:pt idx="184">
                  <c:v>166.18084652011066</c:v>
                </c:pt>
                <c:pt idx="185">
                  <c:v>167.88902808758033</c:v>
                </c:pt>
                <c:pt idx="186">
                  <c:v>169.60425892839038</c:v>
                </c:pt>
                <c:pt idx="187">
                  <c:v>171.32651011250059</c:v>
                </c:pt>
                <c:pt idx="188">
                  <c:v>173.05575267869182</c:v>
                </c:pt>
                <c:pt idx="189">
                  <c:v>174.79195763521167</c:v>
                </c:pt>
                <c:pt idx="190">
                  <c:v>176.53509596041872</c:v>
                </c:pt>
                <c:pt idx="191">
                  <c:v>178.28513860342514</c:v>
                </c:pt>
                <c:pt idx="192">
                  <c:v>180.04205648473786</c:v>
                </c:pt>
                <c:pt idx="193">
                  <c:v>181.80582049689812</c:v>
                </c:pt>
                <c:pt idx="194">
                  <c:v>183.57640150511941</c:v>
                </c:pt>
                <c:pt idx="195">
                  <c:v>185.35377034792367</c:v>
                </c:pt>
                <c:pt idx="196">
                  <c:v>187.13789783777588</c:v>
                </c:pt>
                <c:pt idx="197">
                  <c:v>188.9287547617169</c:v>
                </c:pt>
                <c:pt idx="198">
                  <c:v>190.72631188199449</c:v>
                </c:pt>
                <c:pt idx="199">
                  <c:v>192.53053993669252</c:v>
                </c:pt>
                <c:pt idx="200">
                  <c:v>194.34140964035842</c:v>
                </c:pt>
                <c:pt idx="201">
                  <c:v>196.15889168462871</c:v>
                </c:pt>
                <c:pt idx="202">
                  <c:v>197.98295673885255</c:v>
                </c:pt>
                <c:pt idx="203">
                  <c:v>199.81357545071344</c:v>
                </c:pt>
                <c:pt idx="204">
                  <c:v>201.65071844684888</c:v>
                </c:pt>
                <c:pt idx="205">
                  <c:v>203.49435633346809</c:v>
                </c:pt>
                <c:pt idx="206">
                  <c:v>205.34445969696756</c:v>
                </c:pt>
                <c:pt idx="207">
                  <c:v>207.20099910454465</c:v>
                </c:pt>
                <c:pt idx="208">
                  <c:v>209.06394510480899</c:v>
                </c:pt>
                <c:pt idx="209">
                  <c:v>210.93326822839182</c:v>
                </c:pt>
                <c:pt idx="210">
                  <c:v>212.80893898855305</c:v>
                </c:pt>
                <c:pt idx="211">
                  <c:v>214.69092788178622</c:v>
                </c:pt>
                <c:pt idx="212">
                  <c:v>216.57920538842117</c:v>
                </c:pt>
                <c:pt idx="213">
                  <c:v>218.47374197322449</c:v>
                </c:pt>
                <c:pt idx="214">
                  <c:v>220.3745080859976</c:v>
                </c:pt>
                <c:pt idx="215">
                  <c:v>222.2814741621726</c:v>
                </c:pt>
                <c:pt idx="216">
                  <c:v>224.19461062340571</c:v>
                </c:pt>
                <c:pt idx="217">
                  <c:v>226.11388787816833</c:v>
                </c:pt>
                <c:pt idx="218">
                  <c:v>228.03927632233572</c:v>
                </c:pt>
                <c:pt idx="219">
                  <c:v>229.97074633977329</c:v>
                </c:pt>
                <c:pt idx="220">
                  <c:v>231.90826830292025</c:v>
                </c:pt>
                <c:pt idx="221">
                  <c:v>233.85181257337101</c:v>
                </c:pt>
                <c:pt idx="222">
                  <c:v>235.80134950245395</c:v>
                </c:pt>
                <c:pt idx="223">
                  <c:v>237.75684943180755</c:v>
                </c:pt>
                <c:pt idx="224">
                  <c:v>239.71828269395419</c:v>
                </c:pt>
                <c:pt idx="225">
                  <c:v>241.68561961287116</c:v>
                </c:pt>
                <c:pt idx="226">
                  <c:v>243.65883050455909</c:v>
                </c:pt>
                <c:pt idx="227">
                  <c:v>245.63788567760784</c:v>
                </c:pt>
                <c:pt idx="228">
                  <c:v>247.62275543375966</c:v>
                </c:pt>
                <c:pt idx="229">
                  <c:v>249.61341006846965</c:v>
                </c:pt>
                <c:pt idx="230">
                  <c:v>251.60981987146346</c:v>
                </c:pt>
                <c:pt idx="231">
                  <c:v>253.61195512729248</c:v>
                </c:pt>
                <c:pt idx="232">
                  <c:v>255.61978611588603</c:v>
                </c:pt>
                <c:pt idx="233">
                  <c:v>257.63328311310084</c:v>
                </c:pt>
                <c:pt idx="234">
                  <c:v>259.65241639126788</c:v>
                </c:pt>
                <c:pt idx="235">
                  <c:v>261.6771562197361</c:v>
                </c:pt>
                <c:pt idx="236">
                  <c:v>263.70747286541371</c:v>
                </c:pt>
                <c:pt idx="237">
                  <c:v>265.7433365933062</c:v>
                </c:pt>
                <c:pt idx="238">
                  <c:v>267.78471766705167</c:v>
                </c:pt>
                <c:pt idx="239">
                  <c:v>269.8315863494534</c:v>
                </c:pt>
                <c:pt idx="240">
                  <c:v>271.88391290300927</c:v>
                </c:pt>
                <c:pt idx="241">
                  <c:v>273.94166759043844</c:v>
                </c:pt>
                <c:pt idx="242">
                  <c:v>276.00482067520483</c:v>
                </c:pt>
                <c:pt idx="243">
                  <c:v>278.07334242203791</c:v>
                </c:pt>
                <c:pt idx="244">
                  <c:v>280.14720309745042</c:v>
                </c:pt>
                <c:pt idx="245">
                  <c:v>282.22637297025284</c:v>
                </c:pt>
                <c:pt idx="246">
                  <c:v>284.3108223120654</c:v>
                </c:pt>
                <c:pt idx="247">
                  <c:v>286.40052139782637</c:v>
                </c:pt>
                <c:pt idx="248">
                  <c:v>288.49544050629777</c:v>
                </c:pt>
                <c:pt idx="249">
                  <c:v>290.59554992056798</c:v>
                </c:pt>
                <c:pt idx="250">
                  <c:v>292.70081992855108</c:v>
                </c:pt>
                <c:pt idx="251">
                  <c:v>294.81121853091122</c:v>
                </c:pt>
                <c:pt idx="252">
                  <c:v>296.92670914982585</c:v>
                </c:pt>
                <c:pt idx="253">
                  <c:v>299.04725292562813</c:v>
                </c:pt>
                <c:pt idx="254">
                  <c:v>301.1728110126997</c:v>
                </c:pt>
                <c:pt idx="255">
                  <c:v>303.30334458014386</c:v>
                </c:pt>
                <c:pt idx="256">
                  <c:v>305.43881481245364</c:v>
                </c:pt>
                <c:pt idx="257">
                  <c:v>307.5791829101745</c:v>
                </c:pt>
                <c:pt idx="258">
                  <c:v>309.72441009056178</c:v>
                </c:pt>
                <c:pt idx="259">
                  <c:v>311.87445758823276</c:v>
                </c:pt>
                <c:pt idx="260">
                  <c:v>314.02928665581362</c:v>
                </c:pt>
                <c:pt idx="261">
                  <c:v>316.1888585645807</c:v>
                </c:pt>
                <c:pt idx="262">
                  <c:v>318.35313460509673</c:v>
                </c:pt>
                <c:pt idx="263">
                  <c:v>320.52207608784158</c:v>
                </c:pt>
                <c:pt idx="264">
                  <c:v>322.69564434383773</c:v>
                </c:pt>
                <c:pt idx="265">
                  <c:v>324.87380072527014</c:v>
                </c:pt>
                <c:pt idx="266">
                  <c:v>327.05650660610087</c:v>
                </c:pt>
                <c:pt idx="267">
                  <c:v>329.24372338267841</c:v>
                </c:pt>
                <c:pt idx="268">
                  <c:v>331.43541247434138</c:v>
                </c:pt>
                <c:pt idx="269">
                  <c:v>333.63153532401702</c:v>
                </c:pt>
                <c:pt idx="270">
                  <c:v>335.83205339881414</c:v>
                </c:pt>
                <c:pt idx="271">
                  <c:v>338.03692819061052</c:v>
                </c:pt>
                <c:pt idx="272">
                  <c:v>340.24612121663523</c:v>
                </c:pt>
                <c:pt idx="273">
                  <c:v>342.45959402004507</c:v>
                </c:pt>
                <c:pt idx="274">
                  <c:v>344.67730817049608</c:v>
                </c:pt>
                <c:pt idx="275">
                  <c:v>346.89922526470895</c:v>
                </c:pt>
                <c:pt idx="276">
                  <c:v>349.12530692702967</c:v>
                </c:pt>
                <c:pt idx="277">
                  <c:v>351.35551480998419</c:v>
                </c:pt>
                <c:pt idx="278">
                  <c:v>353.58981059482784</c:v>
                </c:pt>
                <c:pt idx="279">
                  <c:v>355.82815599208931</c:v>
                </c:pt>
                <c:pt idx="280">
                  <c:v>358.0705127421092</c:v>
                </c:pt>
                <c:pt idx="281">
                  <c:v>360.31684261557291</c:v>
                </c:pt>
                <c:pt idx="282">
                  <c:v>362.56710741403822</c:v>
                </c:pt>
                <c:pt idx="283">
                  <c:v>364.82126897045742</c:v>
                </c:pt>
                <c:pt idx="284">
                  <c:v>367.07928914969403</c:v>
                </c:pt>
                <c:pt idx="285">
                  <c:v>369.34112984903385</c:v>
                </c:pt>
                <c:pt idx="286">
                  <c:v>371.60675299869064</c:v>
                </c:pt>
                <c:pt idx="287">
                  <c:v>373.8761205623066</c:v>
                </c:pt>
                <c:pt idx="288">
                  <c:v>376.14919453744699</c:v>
                </c:pt>
                <c:pt idx="289">
                  <c:v>378.42593695608957</c:v>
                </c:pt>
                <c:pt idx="290">
                  <c:v>380.70630988510851</c:v>
                </c:pt>
                <c:pt idx="291">
                  <c:v>382.99027542675299</c:v>
                </c:pt>
                <c:pt idx="292">
                  <c:v>385.27779571912009</c:v>
                </c:pt>
                <c:pt idx="293">
                  <c:v>387.56883293662253</c:v>
                </c:pt>
                <c:pt idx="294">
                  <c:v>389.8633492904508</c:v>
                </c:pt>
                <c:pt idx="295">
                  <c:v>392.16130702903013</c:v>
                </c:pt>
                <c:pt idx="296">
                  <c:v>394.46266843847172</c:v>
                </c:pt>
                <c:pt idx="297">
                  <c:v>396.76739584301885</c:v>
                </c:pt>
                <c:pt idx="298">
                  <c:v>399.07542636391133</c:v>
                </c:pt>
                <c:pt idx="299">
                  <c:v>401.3866467005185</c:v>
                </c:pt>
                <c:pt idx="300">
                  <c:v>403.70091843431464</c:v>
                </c:pt>
                <c:pt idx="301">
                  <c:v>406.01810331214421</c:v>
                </c:pt>
                <c:pt idx="302">
                  <c:v>408.33806324974847</c:v>
                </c:pt>
                <c:pt idx="303">
                  <c:v>410.6606603352285</c:v>
                </c:pt>
                <c:pt idx="304">
                  <c:v>412.98575683244439</c:v>
                </c:pt>
                <c:pt idx="305">
                  <c:v>415.31321518435101</c:v>
                </c:pt>
                <c:pt idx="306">
                  <c:v>417.6428980162699</c:v>
                </c:pt>
                <c:pt idx="307">
                  <c:v>419.97466813909784</c:v>
                </c:pt>
                <c:pt idx="308">
                  <c:v>422.3083885524523</c:v>
                </c:pt>
                <c:pt idx="309">
                  <c:v>424.64392244775337</c:v>
                </c:pt>
                <c:pt idx="310">
                  <c:v>426.98113321124271</c:v>
                </c:pt>
                <c:pt idx="311">
                  <c:v>429.31988442693984</c:v>
                </c:pt>
                <c:pt idx="312">
                  <c:v>431.66003987953536</c:v>
                </c:pt>
                <c:pt idx="313">
                  <c:v>434.00146355722188</c:v>
                </c:pt>
                <c:pt idx="314">
                  <c:v>436.34401965446256</c:v>
                </c:pt>
                <c:pt idx="315">
                  <c:v>438.68757257469724</c:v>
                </c:pt>
                <c:pt idx="316">
                  <c:v>441.03198693298702</c:v>
                </c:pt>
                <c:pt idx="317">
                  <c:v>443.37712755859684</c:v>
                </c:pt>
                <c:pt idx="318">
                  <c:v>445.72285949751665</c:v>
                </c:pt>
                <c:pt idx="319">
                  <c:v>448.06904801492141</c:v>
                </c:pt>
                <c:pt idx="320">
                  <c:v>450.41555859756994</c:v>
                </c:pt>
                <c:pt idx="321">
                  <c:v>452.7622670037851</c:v>
                </c:pt>
                <c:pt idx="322">
                  <c:v>455.10906929779424</c:v>
                </c:pt>
                <c:pt idx="323">
                  <c:v>457.45587176938403</c:v>
                </c:pt>
                <c:pt idx="324">
                  <c:v>459.80258086848056</c:v>
                </c:pt>
                <c:pt idx="325">
                  <c:v>462.14910320607339</c:v>
                </c:pt>
                <c:pt idx="326">
                  <c:v>464.49534555511127</c:v>
                </c:pt>
                <c:pt idx="327">
                  <c:v>466.84121485136887</c:v>
                </c:pt>
                <c:pt idx="328">
                  <c:v>469.18661819428553</c:v>
                </c:pt>
                <c:pt idx="329">
                  <c:v>471.53146284777546</c:v>
                </c:pt>
                <c:pt idx="330">
                  <c:v>473.87565624100995</c:v>
                </c:pt>
                <c:pt idx="331">
                  <c:v>476.21910596917178</c:v>
                </c:pt>
                <c:pt idx="332">
                  <c:v>478.56171979418207</c:v>
                </c:pt>
                <c:pt idx="333">
                  <c:v>480.90340564539929</c:v>
                </c:pt>
                <c:pt idx="334">
                  <c:v>483.24407162029132</c:v>
                </c:pt>
                <c:pt idx="335">
                  <c:v>485.58362598508029</c:v>
                </c:pt>
                <c:pt idx="336">
                  <c:v>487.92197717536033</c:v>
                </c:pt>
                <c:pt idx="337">
                  <c:v>490.25903379668893</c:v>
                </c:pt>
                <c:pt idx="338">
                  <c:v>492.59470462515151</c:v>
                </c:pt>
                <c:pt idx="339">
                  <c:v>494.92889860789978</c:v>
                </c:pt>
                <c:pt idx="340">
                  <c:v>497.26152486366402</c:v>
                </c:pt>
                <c:pt idx="341">
                  <c:v>499.59249268323924</c:v>
                </c:pt>
                <c:pt idx="342">
                  <c:v>501.92171152994592</c:v>
                </c:pt>
                <c:pt idx="343">
                  <c:v>504.24909104006497</c:v>
                </c:pt>
                <c:pt idx="344">
                  <c:v>506.57454102324749</c:v>
                </c:pt>
                <c:pt idx="345">
                  <c:v>508.89797146289942</c:v>
                </c:pt>
                <c:pt idx="346">
                  <c:v>511.21929251654126</c:v>
                </c:pt>
                <c:pt idx="347">
                  <c:v>513.53841451614312</c:v>
                </c:pt>
                <c:pt idx="348">
                  <c:v>515.85524905241698</c:v>
                </c:pt>
                <c:pt idx="349">
                  <c:v>518.1697100568997</c:v>
                </c:pt>
                <c:pt idx="350">
                  <c:v>520.4817127137527</c:v>
                </c:pt>
                <c:pt idx="351">
                  <c:v>522.79117237369076</c:v>
                </c:pt>
                <c:pt idx="352">
                  <c:v>525.09800455413438</c:v>
                </c:pt>
                <c:pt idx="353">
                  <c:v>527.40212493934087</c:v>
                </c:pt>
                <c:pt idx="354">
                  <c:v>529.7034493805146</c:v>
                </c:pt>
                <c:pt idx="355">
                  <c:v>532.00189389589696</c:v>
                </c:pt>
                <c:pt idx="356">
                  <c:v>534.29737467083555</c:v>
                </c:pt>
                <c:pt idx="357">
                  <c:v>536.58980805783335</c:v>
                </c:pt>
                <c:pt idx="358">
                  <c:v>538.87911057657732</c:v>
                </c:pt>
                <c:pt idx="359">
                  <c:v>541.16519891394796</c:v>
                </c:pt>
                <c:pt idx="360">
                  <c:v>543.44801246697205</c:v>
                </c:pt>
                <c:pt idx="361">
                  <c:v>545.72753583676149</c:v>
                </c:pt>
                <c:pt idx="362">
                  <c:v>548.00377618798007</c:v>
                </c:pt>
                <c:pt idx="363">
                  <c:v>550.27674065739689</c:v>
                </c:pt>
                <c:pt idx="364">
                  <c:v>552.5464363540309</c:v>
                </c:pt>
                <c:pt idx="365">
                  <c:v>554.81287035929472</c:v>
                </c:pt>
                <c:pt idx="366">
                  <c:v>557.07604972713705</c:v>
                </c:pt>
                <c:pt idx="367">
                  <c:v>559.33598148418446</c:v>
                </c:pt>
                <c:pt idx="368">
                  <c:v>561.59267262988249</c:v>
                </c:pt>
                <c:pt idx="369">
                  <c:v>563.84613013663511</c:v>
                </c:pt>
                <c:pt idx="370">
                  <c:v>566.09636094994414</c:v>
                </c:pt>
                <c:pt idx="371">
                  <c:v>568.34337198854701</c:v>
                </c:pt>
                <c:pt idx="372">
                  <c:v>570.58717014455419</c:v>
                </c:pt>
                <c:pt idx="373">
                  <c:v>572.82776228358534</c:v>
                </c:pt>
                <c:pt idx="374">
                  <c:v>575.06515524490487</c:v>
                </c:pt>
                <c:pt idx="375">
                  <c:v>577.29935584155646</c:v>
                </c:pt>
                <c:pt idx="376">
                  <c:v>579.53037086049665</c:v>
                </c:pt>
                <c:pt idx="377">
                  <c:v>581.75820706272771</c:v>
                </c:pt>
                <c:pt idx="378">
                  <c:v>583.98287118342989</c:v>
                </c:pt>
                <c:pt idx="379">
                  <c:v>586.20436993209216</c:v>
                </c:pt>
                <c:pt idx="380">
                  <c:v>588.42270999264269</c:v>
                </c:pt>
                <c:pt idx="381">
                  <c:v>590.63789802357837</c:v>
                </c:pt>
                <c:pt idx="382">
                  <c:v>592.84994065809326</c:v>
                </c:pt>
                <c:pt idx="383">
                  <c:v>595.0588445042066</c:v>
                </c:pt>
                <c:pt idx="384">
                  <c:v>597.26461614488971</c:v>
                </c:pt>
                <c:pt idx="385">
                  <c:v>599.46726213819215</c:v>
                </c:pt>
                <c:pt idx="386">
                  <c:v>601.66678901736714</c:v>
                </c:pt>
                <c:pt idx="387">
                  <c:v>603.86320329099613</c:v>
                </c:pt>
                <c:pt idx="388">
                  <c:v>606.05651144311264</c:v>
                </c:pt>
                <c:pt idx="389">
                  <c:v>608.24671993332538</c:v>
                </c:pt>
                <c:pt idx="390">
                  <c:v>610.43383519694021</c:v>
                </c:pt>
                <c:pt idx="391">
                  <c:v>612.6178636450818</c:v>
                </c:pt>
                <c:pt idx="392">
                  <c:v>614.79881166481437</c:v>
                </c:pt>
                <c:pt idx="393">
                  <c:v>616.97668561926162</c:v>
                </c:pt>
                <c:pt idx="394">
                  <c:v>619.15149184772565</c:v>
                </c:pt>
                <c:pt idx="395">
                  <c:v>621.32323666580578</c:v>
                </c:pt>
                <c:pt idx="396">
                  <c:v>623.49192636551595</c:v>
                </c:pt>
                <c:pt idx="397">
                  <c:v>625.65756721540185</c:v>
                </c:pt>
                <c:pt idx="398">
                  <c:v>627.82016546065722</c:v>
                </c:pt>
                <c:pt idx="399">
                  <c:v>629.9797273232391</c:v>
                </c:pt>
                <c:pt idx="400">
                  <c:v>632.13625900198269</c:v>
                </c:pt>
                <c:pt idx="401">
                  <c:v>653.53539404675041</c:v>
                </c:pt>
                <c:pt idx="402">
                  <c:v>674.63548225065961</c:v>
                </c:pt>
                <c:pt idx="403">
                  <c:v>695.4425041369102</c:v>
                </c:pt>
                <c:pt idx="404">
                  <c:v>715.96222361986725</c:v>
                </c:pt>
                <c:pt idx="405">
                  <c:v>736.20019831701836</c:v>
                </c:pt>
                <c:pt idx="406">
                  <c:v>756.16178924676285</c:v>
                </c:pt>
                <c:pt idx="407">
                  <c:v>775.85216995563576</c:v>
                </c:pt>
                <c:pt idx="408">
                  <c:v>795.27633511498607</c:v>
                </c:pt>
                <c:pt idx="409">
                  <c:v>814.43910862387588</c:v>
                </c:pt>
                <c:pt idx="410">
                  <c:v>833.3451512520146</c:v>
                </c:pt>
                <c:pt idx="411">
                  <c:v>851.99896785385999</c:v>
                </c:pt>
                <c:pt idx="412">
                  <c:v>870.40491418257523</c:v>
                </c:pt>
                <c:pt idx="413">
                  <c:v>888.56720333030694</c:v>
                </c:pt>
                <c:pt idx="414">
                  <c:v>906.48991181921906</c:v>
                </c:pt>
                <c:pt idx="415">
                  <c:v>924.17698536586602</c:v>
                </c:pt>
                <c:pt idx="416">
                  <c:v>941.63224433979383</c:v>
                </c:pt>
                <c:pt idx="417">
                  <c:v>958.85938893571051</c:v>
                </c:pt>
                <c:pt idx="418">
                  <c:v>975.86200407714568</c:v>
                </c:pt>
                <c:pt idx="419">
                  <c:v>992.64356406822026</c:v>
                </c:pt>
                <c:pt idx="420">
                  <c:v>1009.2074370089531</c:v>
                </c:pt>
                <c:pt idx="421">
                  <c:v>1025.556888988435</c:v>
                </c:pt>
                <c:pt idx="422">
                  <c:v>1041.6950880691913</c:v>
                </c:pt>
                <c:pt idx="423">
                  <c:v>1057.6251080751292</c:v>
                </c:pt>
                <c:pt idx="424">
                  <c:v>1073.3499321946092</c:v>
                </c:pt>
                <c:pt idx="425">
                  <c:v>1088.8724564093955</c:v>
                </c:pt>
                <c:pt idx="426">
                  <c:v>1104.1954927595093</c:v>
                </c:pt>
                <c:pt idx="427">
                  <c:v>1119.3217724533451</c:v>
                </c:pt>
                <c:pt idx="428">
                  <c:v>1134.2539488317827</c:v>
                </c:pt>
                <c:pt idx="429">
                  <c:v>1148.9946001944597</c:v>
                </c:pt>
                <c:pt idx="430">
                  <c:v>1163.5462324958387</c:v>
                </c:pt>
                <c:pt idx="431">
                  <c:v>1177.9112819182071</c:v>
                </c:pt>
                <c:pt idx="432">
                  <c:v>1192.0921173282998</c:v>
                </c:pt>
                <c:pt idx="433">
                  <c:v>1206.0910426238049</c:v>
                </c:pt>
                <c:pt idx="434">
                  <c:v>1219.9102989756268</c:v>
                </c:pt>
                <c:pt idx="435">
                  <c:v>1233.5520669714122</c:v>
                </c:pt>
                <c:pt idx="436">
                  <c:v>1247.0184686655082</c:v>
                </c:pt>
                <c:pt idx="437">
                  <c:v>1260.311569540208</c:v>
                </c:pt>
                <c:pt idx="438">
                  <c:v>1273.4333803828417</c:v>
                </c:pt>
                <c:pt idx="439">
                  <c:v>1286.3858590830041</c:v>
                </c:pt>
                <c:pt idx="440">
                  <c:v>1299.1709123539486</c:v>
                </c:pt>
                <c:pt idx="441">
                  <c:v>1311.7903973819464</c:v>
                </c:pt>
                <c:pt idx="442">
                  <c:v>1324.2461234071841</c:v>
                </c:pt>
                <c:pt idx="443">
                  <c:v>1336.5398532395679</c:v>
                </c:pt>
                <c:pt idx="444">
                  <c:v>1348.6733047126083</c:v>
                </c:pt>
                <c:pt idx="445">
                  <c:v>1360.64815207838</c:v>
                </c:pt>
                <c:pt idx="446">
                  <c:v>1372.4660273463821</c:v>
                </c:pt>
                <c:pt idx="447">
                  <c:v>1384.1285215689654</c:v>
                </c:pt>
                <c:pt idx="448">
                  <c:v>1395.6371860758452</c:v>
                </c:pt>
                <c:pt idx="449">
                  <c:v>1406.9935336600806</c:v>
                </c:pt>
                <c:pt idx="450">
                  <c:v>1418.1990397177699</c:v>
                </c:pt>
                <c:pt idx="451">
                  <c:v>1429.2551433435904</c:v>
                </c:pt>
                <c:pt idx="452">
                  <c:v>1440.1632483841963</c:v>
                </c:pt>
                <c:pt idx="453">
                  <c:v>1450.9247244513811</c:v>
                </c:pt>
                <c:pt idx="454">
                  <c:v>1461.5409078968084</c:v>
                </c:pt>
                <c:pt idx="455">
                  <c:v>1472.0131027500249</c:v>
                </c:pt>
                <c:pt idx="456">
                  <c:v>1482.3425816213714</c:v>
                </c:pt>
                <c:pt idx="457">
                  <c:v>1492.5305865713342</c:v>
                </c:pt>
                <c:pt idx="458">
                  <c:v>1502.5783299477914</c:v>
                </c:pt>
                <c:pt idx="459">
                  <c:v>1512.4869951925396</c:v>
                </c:pt>
                <c:pt idx="460">
                  <c:v>1522.257737618414</c:v>
                </c:pt>
                <c:pt idx="461">
                  <c:v>1531.8916851582489</c:v>
                </c:pt>
                <c:pt idx="462">
                  <c:v>1541.3899390868651</c:v>
                </c:pt>
                <c:pt idx="463">
                  <c:v>1550.7535747172094</c:v>
                </c:pt>
                <c:pt idx="464">
                  <c:v>1559.9836420717181</c:v>
                </c:pt>
                <c:pt idx="465">
                  <c:v>1569.0811665299216</c:v>
                </c:pt>
                <c:pt idx="466">
                  <c:v>1578.047149453261</c:v>
                </c:pt>
                <c:pt idx="467">
                  <c:v>1586.8825687880378</c:v>
                </c:pt>
                <c:pt idx="468">
                  <c:v>1595.5883796473747</c:v>
                </c:pt>
                <c:pt idx="469">
                  <c:v>1604.1655148730251</c:v>
                </c:pt>
                <c:pt idx="470">
                  <c:v>1612.6148855778265</c:v>
                </c:pt>
                <c:pt idx="471">
                  <c:v>1620.9373816695575</c:v>
                </c:pt>
                <c:pt idx="472">
                  <c:v>1629.1338723569229</c:v>
                </c:pt>
                <c:pt idx="473">
                  <c:v>1637.2052066383576</c:v>
                </c:pt>
                <c:pt idx="474">
                  <c:v>1645.1522137743054</c:v>
                </c:pt>
                <c:pt idx="475">
                  <c:v>1652.9757037436036</c:v>
                </c:pt>
                <c:pt idx="476">
                  <c:v>1660.6764676845719</c:v>
                </c:pt>
                <c:pt idx="477">
                  <c:v>1668.2552783213789</c:v>
                </c:pt>
                <c:pt idx="478">
                  <c:v>1675.7128903762325</c:v>
                </c:pt>
                <c:pt idx="479">
                  <c:v>1683.0500409679162</c:v>
                </c:pt>
                <c:pt idx="480">
                  <c:v>1690.2674499971729</c:v>
                </c:pt>
                <c:pt idx="481">
                  <c:v>1697.3658205194104</c:v>
                </c:pt>
                <c:pt idx="482">
                  <c:v>1704.3458391051872</c:v>
                </c:pt>
                <c:pt idx="483">
                  <c:v>1711.2081761889158</c:v>
                </c:pt>
                <c:pt idx="484">
                  <c:v>1717.9534864061973</c:v>
                </c:pt>
                <c:pt idx="485">
                  <c:v>1724.5824089201926</c:v>
                </c:pt>
                <c:pt idx="486">
                  <c:v>1731.0955677374084</c:v>
                </c:pt>
                <c:pt idx="487">
                  <c:v>1737.4935720132667</c:v>
                </c:pt>
                <c:pt idx="488">
                  <c:v>1743.7770163478096</c:v>
                </c:pt>
                <c:pt idx="489">
                  <c:v>1749.9464810718737</c:v>
                </c:pt>
                <c:pt idx="490">
                  <c:v>1756.0025325240588</c:v>
                </c:pt>
                <c:pt idx="491">
                  <c:v>1761.9457233188</c:v>
                </c:pt>
                <c:pt idx="492">
                  <c:v>1767.7765926058394</c:v>
                </c:pt>
                <c:pt idx="493">
                  <c:v>1773.4956663213836</c:v>
                </c:pt>
                <c:pt idx="494">
                  <c:v>1779.1034574312209</c:v>
                </c:pt>
                <c:pt idx="495">
                  <c:v>1784.6004661660593</c:v>
                </c:pt>
                <c:pt idx="496">
                  <c:v>1789.9871802493417</c:v>
                </c:pt>
                <c:pt idx="497">
                  <c:v>1795.2640751177805</c:v>
                </c:pt>
                <c:pt idx="498">
                  <c:v>1800.4316141348445</c:v>
                </c:pt>
                <c:pt idx="499">
                  <c:v>1805.4902487974282</c:v>
                </c:pt>
                <c:pt idx="500">
                  <c:v>1810.4404189359184</c:v>
                </c:pt>
                <c:pt idx="501">
                  <c:v>1815.2825529078721</c:v>
                </c:pt>
                <c:pt idx="502">
                  <c:v>1820.0170677855076</c:v>
                </c:pt>
                <c:pt idx="503">
                  <c:v>1824.6443695372097</c:v>
                </c:pt>
                <c:pt idx="504">
                  <c:v>1829.1648532032395</c:v>
                </c:pt>
                <c:pt idx="505">
                  <c:v>1833.5789030658382</c:v>
                </c:pt>
                <c:pt idx="506">
                  <c:v>1837.8868928139068</c:v>
                </c:pt>
                <c:pt idx="507">
                  <c:v>1842.0891857024446</c:v>
                </c:pt>
                <c:pt idx="508">
                  <c:v>1846.1861347069193</c:v>
                </c:pt>
                <c:pt idx="509">
                  <c:v>1850.1780826727481</c:v>
                </c:pt>
                <c:pt idx="510">
                  <c:v>1854.0653624600616</c:v>
                </c:pt>
                <c:pt idx="511">
                  <c:v>1857.8482970839252</c:v>
                </c:pt>
                <c:pt idx="512">
                  <c:v>1861.5271998501953</c:v>
                </c:pt>
                <c:pt idx="513">
                  <c:v>1865.1023744871854</c:v>
                </c:pt>
                <c:pt idx="514">
                  <c:v>1868.5741152733283</c:v>
                </c:pt>
                <c:pt idx="515">
                  <c:v>1871.942707161021</c:v>
                </c:pt>
                <c:pt idx="516">
                  <c:v>1875.2084258968514</c:v>
                </c:pt>
                <c:pt idx="517">
                  <c:v>1878.3715381384143</c:v>
                </c:pt>
                <c:pt idx="518">
                  <c:v>1881.4323015679408</c:v>
                </c:pt>
                <c:pt idx="519">
                  <c:v>1884.3909650029818</c:v>
                </c:pt>
                <c:pt idx="520">
                  <c:v>1887.2477685044103</c:v>
                </c:pt>
                <c:pt idx="521">
                  <c:v>1890.0029434820349</c:v>
                </c:pt>
                <c:pt idx="522">
                  <c:v>1892.6567127981516</c:v>
                </c:pt>
                <c:pt idx="523">
                  <c:v>1895.2092908694053</c:v>
                </c:pt>
                <c:pt idx="524">
                  <c:v>1897.6608837673834</c:v>
                </c:pt>
                <c:pt idx="525">
                  <c:v>1900.011689318432</c:v>
                </c:pt>
                <c:pt idx="526">
                  <c:v>1902.2618972032606</c:v>
                </c:pt>
                <c:pt idx="527">
                  <c:v>1904.4116890570019</c:v>
                </c:pt>
                <c:pt idx="528">
                  <c:v>1906.4612385705093</c:v>
                </c:pt>
                <c:pt idx="529">
                  <c:v>1908.4107115938189</c:v>
                </c:pt>
                <c:pt idx="530">
                  <c:v>1910.260266242879</c:v>
                </c:pt>
                <c:pt idx="531">
                  <c:v>1912.0100530108571</c:v>
                </c:pt>
                <c:pt idx="532">
                  <c:v>1913.6602148855902</c:v>
                </c:pt>
                <c:pt idx="533">
                  <c:v>1915.2108874750452</c:v>
                </c:pt>
                <c:pt idx="534">
                  <c:v>1916.6621991430081</c:v>
                </c:pt>
                <c:pt idx="535">
                  <c:v>1918.0142711576364</c:v>
                </c:pt>
                <c:pt idx="536">
                  <c:v>1919.2672178559733</c:v>
                </c:pt>
                <c:pt idx="537">
                  <c:v>1920.421146828048</c:v>
                </c:pt>
                <c:pt idx="538">
                  <c:v>1921.47615912473</c:v>
                </c:pt>
                <c:pt idx="539">
                  <c:v>1922.4323494940593</c:v>
                </c:pt>
                <c:pt idx="540">
                  <c:v>1923.2898066512682</c:v>
                </c:pt>
                <c:pt idx="541">
                  <c:v>1924.0486135880608</c:v>
                </c:pt>
                <c:pt idx="542">
                  <c:v>1924.7088479268193</c:v>
                </c:pt>
                <c:pt idx="543">
                  <c:v>1925.2705823251067</c:v>
                </c:pt>
                <c:pt idx="544">
                  <c:v>1925.7338849349876</c:v>
                </c:pt>
                <c:pt idx="545">
                  <c:v>1926.098819920139</c:v>
                </c:pt>
                <c:pt idx="546">
                  <c:v>1926.3654480313908</c:v>
                </c:pt>
                <c:pt idx="547">
                  <c:v>1926.5338272382439</c:v>
                </c:pt>
                <c:pt idx="548">
                  <c:v>1926.6040134102664</c:v>
                </c:pt>
                <c:pt idx="549">
                  <c:v>1926.5760610384211</c:v>
                </c:pt>
                <c:pt idx="550">
                  <c:v>1926.4500239828867</c:v>
                </c:pt>
                <c:pt idx="551">
                  <c:v>1926.2259562313372</c:v>
                </c:pt>
                <c:pt idx="552">
                  <c:v>1925.9039126504497</c:v>
                </c:pt>
                <c:pt idx="553">
                  <c:v>1925.4839497138166</c:v>
                </c:pt>
                <c:pt idx="554">
                  <c:v>1924.9661261913986</c:v>
                </c:pt>
                <c:pt idx="555">
                  <c:v>1924.3505037887717</c:v>
                </c:pt>
                <c:pt idx="556">
                  <c:v>1923.6371477281789</c:v>
                </c:pt>
                <c:pt idx="557">
                  <c:v>1922.8261272672082</c:v>
                </c:pt>
                <c:pt idx="558">
                  <c:v>1921.9175161543301</c:v>
                </c:pt>
                <c:pt idx="559">
                  <c:v>1920.9113930232534</c:v>
                </c:pt>
                <c:pt idx="560">
                  <c:v>1919.8078417299937</c:v>
                </c:pt>
                <c:pt idx="561">
                  <c:v>1918.6069516377181</c:v>
                </c:pt>
                <c:pt idx="562">
                  <c:v>1917.308817854982</c:v>
                </c:pt>
                <c:pt idx="563">
                  <c:v>1915.913541433034</c:v>
                </c:pt>
                <c:pt idx="564">
                  <c:v>1914.4212295276163</c:v>
                </c:pt>
                <c:pt idx="565">
                  <c:v>1912.8319955302391</c:v>
                </c:pt>
                <c:pt idx="566">
                  <c:v>1911.1459591733683</c:v>
                </c:pt>
                <c:pt idx="567">
                  <c:v>1909.3632466134022</c:v>
                </c:pt>
                <c:pt idx="568">
                  <c:v>1907.4839904947689</c:v>
                </c:pt>
                <c:pt idx="569">
                  <c:v>1905.508329997974</c:v>
                </c:pt>
                <c:pt idx="570">
                  <c:v>1903.4364108739844</c:v>
                </c:pt>
                <c:pt idx="571">
                  <c:v>1901.2683854669472</c:v>
                </c:pt>
                <c:pt idx="572">
                  <c:v>1899.0044127269102</c:v>
                </c:pt>
                <c:pt idx="573">
                  <c:v>1896.6446582139386</c:v>
                </c:pt>
                <c:pt idx="574">
                  <c:v>1894.1892940947776</c:v>
                </c:pt>
                <c:pt idx="575">
                  <c:v>1891.6384991330322</c:v>
                </c:pt>
                <c:pt idx="576">
                  <c:v>1888.9924586736595</c:v>
                </c:pt>
                <c:pt idx="577">
                  <c:v>1886.2513646224493</c:v>
                </c:pt>
                <c:pt idx="578">
                  <c:v>1883.4154154210496</c:v>
                </c:pt>
                <c:pt idx="579">
                  <c:v>1880.4848160180125</c:v>
                </c:pt>
                <c:pt idx="580">
                  <c:v>1877.459777836254</c:v>
                </c:pt>
                <c:pt idx="581">
                  <c:v>1874.3405187372655</c:v>
                </c:pt>
                <c:pt idx="582">
                  <c:v>1871.127262982362</c:v>
                </c:pt>
                <c:pt idx="583">
                  <c:v>1867.8202411912127</c:v>
                </c:pt>
                <c:pt idx="584">
                  <c:v>1864.4196902978604</c:v>
                </c:pt>
                <c:pt idx="585">
                  <c:v>1860.9258535044144</c:v>
                </c:pt>
                <c:pt idx="586">
                  <c:v>1857.3389802325721</c:v>
                </c:pt>
                <c:pt idx="587">
                  <c:v>1853.6593260731083</c:v>
                </c:pt>
                <c:pt idx="588">
                  <c:v>1849.8871527334529</c:v>
                </c:pt>
                <c:pt idx="589">
                  <c:v>1846.0227279834653</c:v>
                </c:pt>
                <c:pt idx="590">
                  <c:v>1842.0663255995005</c:v>
                </c:pt>
                <c:pt idx="591">
                  <c:v>1838.018225306856</c:v>
                </c:pt>
                <c:pt idx="592">
                  <c:v>1833.8787127206756</c:v>
                </c:pt>
                <c:pt idx="593">
                  <c:v>1829.6480792853833</c:v>
                </c:pt>
                <c:pt idx="594">
                  <c:v>1825.3266222127129</c:v>
                </c:pt>
                <c:pt idx="595">
                  <c:v>1820.9146444183946</c:v>
                </c:pt>
                <c:pt idx="596">
                  <c:v>1816.4124544575561</c:v>
                </c:pt>
                <c:pt idx="597">
                  <c:v>1811.8203664588918</c:v>
                </c:pt>
                <c:pt idx="598">
                  <c:v>1807.1387000576501</c:v>
                </c:pt>
                <c:pt idx="599">
                  <c:v>1802.3677803274886</c:v>
                </c:pt>
                <c:pt idx="600">
                  <c:v>1797.5079377112415</c:v>
                </c:pt>
                <c:pt idx="601">
                  <c:v>1792.5595079506459</c:v>
                </c:pt>
                <c:pt idx="602">
                  <c:v>1787.5228320150661</c:v>
                </c:pt>
                <c:pt idx="603">
                  <c:v>1782.3982560292618</c:v>
                </c:pt>
                <c:pt idx="604">
                  <c:v>1777.1861312002361</c:v>
                </c:pt>
                <c:pt idx="605">
                  <c:v>1771.8868137432066</c:v>
                </c:pt>
                <c:pt idx="606">
                  <c:v>1766.5006648067342</c:v>
                </c:pt>
                <c:pt idx="607">
                  <c:v>1761.0280503970494</c:v>
                </c:pt>
                <c:pt idx="608">
                  <c:v>1755.4693413016128</c:v>
                </c:pt>
                <c:pt idx="609">
                  <c:v>1749.8249130119464</c:v>
                </c:pt>
                <c:pt idx="610">
                  <c:v>1744.0951456457697</c:v>
                </c:pt>
                <c:pt idx="611">
                  <c:v>1738.2804238684782</c:v>
                </c:pt>
                <c:pt idx="612">
                  <c:v>1732.3811368139982</c:v>
                </c:pt>
                <c:pt idx="613">
                  <c:v>1726.3976780050521</c:v>
                </c:pt>
                <c:pt idx="614">
                  <c:v>1720.3304452728692</c:v>
                </c:pt>
                <c:pt idx="615">
                  <c:v>1714.1798406763753</c:v>
                </c:pt>
                <c:pt idx="616">
                  <c:v>1707.9462704208943</c:v>
                </c:pt>
                <c:pt idx="617">
                  <c:v>1701.6301447763958</c:v>
                </c:pt>
                <c:pt idx="618">
                  <c:v>1695.2318779953216</c:v>
                </c:pt>
                <c:pt idx="619">
                  <c:v>1688.7518882300226</c:v>
                </c:pt>
                <c:pt idx="620">
                  <c:v>1682.1905974498395</c:v>
                </c:pt>
                <c:pt idx="621">
                  <c:v>1675.5484313578595</c:v>
                </c:pt>
                <c:pt idx="622">
                  <c:v>1668.8258193073791</c:v>
                </c:pt>
                <c:pt idx="623">
                  <c:v>1662.0231942181076</c:v>
                </c:pt>
                <c:pt idx="624">
                  <c:v>1655.1409924921395</c:v>
                </c:pt>
                <c:pt idx="625">
                  <c:v>1648.1796539297277</c:v>
                </c:pt>
                <c:pt idx="626">
                  <c:v>1641.1396216448893</c:v>
                </c:pt>
                <c:pt idx="627">
                  <c:v>1634.0213419808729</c:v>
                </c:pt>
                <c:pt idx="628">
                  <c:v>1626.8252644255183</c:v>
                </c:pt>
                <c:pt idx="629">
                  <c:v>1619.5518415265374</c:v>
                </c:pt>
                <c:pt idx="630">
                  <c:v>1612.2015288067471</c:v>
                </c:pt>
                <c:pt idx="631">
                  <c:v>1604.7747846792822</c:v>
                </c:pt>
                <c:pt idx="632">
                  <c:v>1597.2720703628174</c:v>
                </c:pt>
                <c:pt idx="633">
                  <c:v>1589.693849796827</c:v>
                </c:pt>
                <c:pt idx="634">
                  <c:v>1582.0405895569095</c:v>
                </c:pt>
                <c:pt idx="635">
                  <c:v>1574.3127587702068</c:v>
                </c:pt>
                <c:pt idx="636">
                  <c:v>1566.5108290309433</c:v>
                </c:pt>
                <c:pt idx="637">
                  <c:v>1558.6352743161124</c:v>
                </c:pt>
                <c:pt idx="638">
                  <c:v>1550.6865709013373</c:v>
                </c:pt>
                <c:pt idx="639">
                  <c:v>1542.665197276933</c:v>
                </c:pt>
                <c:pt idx="640">
                  <c:v>1534.5716340641932</c:v>
                </c:pt>
                <c:pt idx="641">
                  <c:v>1526.4063639319299</c:v>
                </c:pt>
                <c:pt idx="642">
                  <c:v>1518.1698715132891</c:v>
                </c:pt>
                <c:pt idx="643">
                  <c:v>1509.8626433228674</c:v>
                </c:pt>
                <c:pt idx="644">
                  <c:v>1501.4851676741537</c:v>
                </c:pt>
                <c:pt idx="645">
                  <c:v>1493.0379345973206</c:v>
                </c:pt>
                <c:pt idx="646">
                  <c:v>1484.5214357573868</c:v>
                </c:pt>
                <c:pt idx="647">
                  <c:v>1475.9361643727755</c:v>
                </c:pt>
                <c:pt idx="648">
                  <c:v>1467.2826151342886</c:v>
                </c:pt>
                <c:pt idx="649">
                  <c:v>1458.5612841245211</c:v>
                </c:pt>
                <c:pt idx="650">
                  <c:v>1449.7726687377358</c:v>
                </c:pt>
                <c:pt idx="651">
                  <c:v>1440.9172676002188</c:v>
                </c:pt>
                <c:pt idx="652">
                  <c:v>1431.9955804911372</c:v>
                </c:pt>
                <c:pt idx="653">
                  <c:v>1423.0081082639185</c:v>
                </c:pt>
                <c:pt idx="654">
                  <c:v>1413.9553527681715</c:v>
                </c:pt>
                <c:pt idx="655">
                  <c:v>1404.8378167721662</c:v>
                </c:pt>
                <c:pt idx="656">
                  <c:v>1395.6560038858945</c:v>
                </c:pt>
                <c:pt idx="657">
                  <c:v>1386.4104184847258</c:v>
                </c:pt>
                <c:pt idx="658">
                  <c:v>1377.1015656336772</c:v>
                </c:pt>
                <c:pt idx="659">
                  <c:v>1367.7299510123153</c:v>
                </c:pt>
                <c:pt idx="660">
                  <c:v>1358.2960808403056</c:v>
                </c:pt>
                <c:pt idx="661">
                  <c:v>1348.8004618036257</c:v>
                </c:pt>
                <c:pt idx="662">
                  <c:v>1339.2436009814562</c:v>
                </c:pt>
                <c:pt idx="663">
                  <c:v>1329.6260057737679</c:v>
                </c:pt>
                <c:pt idx="664">
                  <c:v>1319.9481838296163</c:v>
                </c:pt>
                <c:pt idx="665">
                  <c:v>1310.2106429761586</c:v>
                </c:pt>
                <c:pt idx="666">
                  <c:v>1300.4138911484079</c:v>
                </c:pt>
                <c:pt idx="667">
                  <c:v>1290.5584363197338</c:v>
                </c:pt>
                <c:pt idx="668">
                  <c:v>1280.644786433128</c:v>
                </c:pt>
                <c:pt idx="669">
                  <c:v>1270.6734493332401</c:v>
                </c:pt>
                <c:pt idx="670">
                  <c:v>1260.6449326991994</c:v>
                </c:pt>
                <c:pt idx="671">
                  <c:v>1250.5597439782334</c:v>
                </c:pt>
                <c:pt idx="672">
                  <c:v>1240.4183903200906</c:v>
                </c:pt>
                <c:pt idx="673">
                  <c:v>1230.2213785122804</c:v>
                </c:pt>
                <c:pt idx="674">
                  <c:v>1219.969214916139</c:v>
                </c:pt>
                <c:pt idx="675">
                  <c:v>1209.6624054037288</c:v>
                </c:pt>
                <c:pt idx="676">
                  <c:v>1199.3014552955819</c:v>
                </c:pt>
                <c:pt idx="677">
                  <c:v>1188.8868692992935</c:v>
                </c:pt>
                <c:pt idx="678">
                  <c:v>1178.4191514489748</c:v>
                </c:pt>
                <c:pt idx="679">
                  <c:v>1167.8988050455707</c:v>
                </c:pt>
                <c:pt idx="680">
                  <c:v>1157.3263325980502</c:v>
                </c:pt>
                <c:pt idx="681">
                  <c:v>1146.7022357654744</c:v>
                </c:pt>
                <c:pt idx="682">
                  <c:v>1136.0270152999492</c:v>
                </c:pt>
                <c:pt idx="683">
                  <c:v>1125.3011709904663</c:v>
                </c:pt>
                <c:pt idx="684">
                  <c:v>1114.5252016076386</c:v>
                </c:pt>
                <c:pt idx="685">
                  <c:v>1103.6996048493329</c:v>
                </c:pt>
                <c:pt idx="686">
                  <c:v>1092.8248772872055</c:v>
                </c:pt>
                <c:pt idx="687">
                  <c:v>1081.9015143141417</c:v>
                </c:pt>
                <c:pt idx="688">
                  <c:v>1070.9300100926052</c:v>
                </c:pt>
                <c:pt idx="689">
                  <c:v>1059.9108575038981</c:v>
                </c:pt>
                <c:pt idx="690">
                  <c:v>1048.8445480983321</c:v>
                </c:pt>
                <c:pt idx="691">
                  <c:v>1037.7315720463166</c:v>
                </c:pt>
                <c:pt idx="692">
                  <c:v>1026.5724180903624</c:v>
                </c:pt>
                <c:pt idx="693">
                  <c:v>1015.3675734980013</c:v>
                </c:pt>
                <c:pt idx="694">
                  <c:v>1004.1175240156247</c:v>
                </c:pt>
                <c:pt idx="695">
                  <c:v>992.82275382323849</c:v>
                </c:pt>
                <c:pt idx="696">
                  <c:v>981.48374549013693</c:v>
                </c:pt>
                <c:pt idx="697">
                  <c:v>970.10097993149213</c:v>
                </c:pt>
                <c:pt idx="698">
                  <c:v>958.67493636586028</c:v>
                </c:pt>
                <c:pt idx="699">
                  <c:v>947.20609227360205</c:v>
                </c:pt>
                <c:pt idx="700">
                  <c:v>935.69492335621669</c:v>
                </c:pt>
                <c:pt idx="701">
                  <c:v>924.14190349658634</c:v>
                </c:pt>
                <c:pt idx="702">
                  <c:v>912.54750472012961</c:v>
                </c:pt>
                <c:pt idx="703">
                  <c:v>900.91219715686111</c:v>
                </c:pt>
                <c:pt idx="704">
                  <c:v>889.23644900435397</c:v>
                </c:pt>
                <c:pt idx="705">
                  <c:v>877.52072649160266</c:v>
                </c:pt>
                <c:pt idx="706">
                  <c:v>865.76549384378131</c:v>
                </c:pt>
                <c:pt idx="707">
                  <c:v>853.97121324789543</c:v>
                </c:pt>
                <c:pt idx="708">
                  <c:v>842.13834481932122</c:v>
                </c:pt>
                <c:pt idx="709">
                  <c:v>830.26734656922895</c:v>
                </c:pt>
                <c:pt idx="710">
                  <c:v>818.35867437288573</c:v>
                </c:pt>
                <c:pt idx="711">
                  <c:v>806.41278193883238</c:v>
                </c:pt>
                <c:pt idx="712">
                  <c:v>794.43012077892934</c:v>
                </c:pt>
                <c:pt idx="713">
                  <c:v>782.41114017926611</c:v>
                </c:pt>
                <c:pt idx="714">
                  <c:v>770.35628717192878</c:v>
                </c:pt>
                <c:pt idx="715">
                  <c:v>758.26600650761952</c:v>
                </c:pt>
                <c:pt idx="716">
                  <c:v>746.14074062912164</c:v>
                </c:pt>
                <c:pt idx="717">
                  <c:v>733.98092964560465</c:v>
                </c:pt>
                <c:pt idx="718">
                  <c:v>721.78701130776165</c:v>
                </c:pt>
                <c:pt idx="719">
                  <c:v>709.55942098377329</c:v>
                </c:pt>
                <c:pt idx="720">
                  <c:v>697.29859163609115</c:v>
                </c:pt>
                <c:pt idx="721">
                  <c:v>685.00495379903271</c:v>
                </c:pt>
                <c:pt idx="722">
                  <c:v>672.67893555718103</c:v>
                </c:pt>
                <c:pt idx="723">
                  <c:v>660.32096252458246</c:v>
                </c:pt>
                <c:pt idx="724">
                  <c:v>647.93145782473323</c:v>
                </c:pt>
                <c:pt idx="725">
                  <c:v>635.51084207134818</c:v>
                </c:pt>
                <c:pt idx="726">
                  <c:v>623.0595333499034</c:v>
                </c:pt>
                <c:pt idx="727">
                  <c:v>610.57794719994445</c:v>
                </c:pt>
                <c:pt idx="728">
                  <c:v>598.06649659815241</c:v>
                </c:pt>
                <c:pt idx="729">
                  <c:v>585.52559194215905</c:v>
                </c:pt>
                <c:pt idx="730">
                  <c:v>572.95564103510253</c:v>
                </c:pt>
                <c:pt idx="731">
                  <c:v>560.35704907091588</c:v>
                </c:pt>
                <c:pt idx="732">
                  <c:v>547.73021862033795</c:v>
                </c:pt>
                <c:pt idx="733">
                  <c:v>535.07554961764004</c:v>
                </c:pt>
                <c:pt idx="734">
                  <c:v>522.39343934805765</c:v>
                </c:pt>
                <c:pt idx="735">
                  <c:v>509.68428243591944</c:v>
                </c:pt>
                <c:pt idx="736">
                  <c:v>496.94847083346383</c:v>
                </c:pt>
                <c:pt idx="737">
                  <c:v>484.18639381033415</c:v>
                </c:pt>
                <c:pt idx="738">
                  <c:v>471.39843794374332</c:v>
                </c:pt>
                <c:pt idx="739">
                  <c:v>458.58498710929871</c:v>
                </c:pt>
                <c:pt idx="740">
                  <c:v>445.74642247247806</c:v>
                </c:pt>
                <c:pt idx="741">
                  <c:v>432.88312248074652</c:v>
                </c:pt>
                <c:pt idx="742">
                  <c:v>419.99546285630623</c:v>
                </c:pt>
                <c:pt idx="743">
                  <c:v>407.0838165894682</c:v>
                </c:pt>
                <c:pt idx="744">
                  <c:v>394.14855393263758</c:v>
                </c:pt>
                <c:pt idx="745">
                  <c:v>381.19004239490249</c:v>
                </c:pt>
                <c:pt idx="746">
                  <c:v>368.20864673721695</c:v>
                </c:pt>
                <c:pt idx="747">
                  <c:v>355.20472896816852</c:v>
                </c:pt>
                <c:pt idx="748">
                  <c:v>342.17864834032065</c:v>
                </c:pt>
                <c:pt idx="749">
                  <c:v>329.13076134712071</c:v>
                </c:pt>
                <c:pt idx="750">
                  <c:v>316.06142172036385</c:v>
                </c:pt>
                <c:pt idx="751">
                  <c:v>302.97098042820272</c:v>
                </c:pt>
                <c:pt idx="752">
                  <c:v>289.85978567369443</c:v>
                </c:pt>
                <c:pt idx="753">
                  <c:v>276.72818289387408</c:v>
                </c:pt>
                <c:pt idx="754">
                  <c:v>263.57651475934608</c:v>
                </c:pt>
                <c:pt idx="755">
                  <c:v>250.40512117438362</c:v>
                </c:pt>
                <c:pt idx="756">
                  <c:v>237.21433927752619</c:v>
                </c:pt>
                <c:pt idx="757">
                  <c:v>224.00450344266642</c:v>
                </c:pt>
                <c:pt idx="758">
                  <c:v>210.77594528061636</c:v>
                </c:pt>
                <c:pt idx="759">
                  <c:v>197.52899364114376</c:v>
                </c:pt>
                <c:pt idx="760">
                  <c:v>184.26397461546912</c:v>
                </c:pt>
                <c:pt idx="761">
                  <c:v>170.98121153921414</c:v>
                </c:pt>
                <c:pt idx="762">
                  <c:v>157.68102499579197</c:v>
                </c:pt>
                <c:pt idx="763">
                  <c:v>144.36373282023041</c:v>
                </c:pt>
                <c:pt idx="764">
                  <c:v>131.02965010341862</c:v>
                </c:pt>
                <c:pt idx="765">
                  <c:v>117.67908919676805</c:v>
                </c:pt>
                <c:pt idx="766">
                  <c:v>104.31235971727882</c:v>
                </c:pt>
                <c:pt idx="767">
                  <c:v>90.929768553002205</c:v>
                </c:pt>
                <c:pt idx="768">
                  <c:v>77.531619868890274</c:v>
                </c:pt>
                <c:pt idx="769">
                  <c:v>64.118215113023922</c:v>
                </c:pt>
                <c:pt idx="770">
                  <c:v>50.689853023210226</c:v>
                </c:pt>
                <c:pt idx="771">
                  <c:v>37.246829633940479</c:v>
                </c:pt>
                <c:pt idx="772">
                  <c:v>23.789438283700058</c:v>
                </c:pt>
                <c:pt idx="773">
                  <c:v>10.317969622621556</c:v>
                </c:pt>
                <c:pt idx="774">
                  <c:v>-3.1672883795274487</c:v>
                </c:pt>
                <c:pt idx="775">
                  <c:v>-3.1807804672232578</c:v>
                </c:pt>
                <c:pt idx="776">
                  <c:v>-3.1942725682809878</c:v>
                </c:pt>
                <c:pt idx="777">
                  <c:v>-3.2077646827003581</c:v>
                </c:pt>
                <c:pt idx="778">
                  <c:v>-3.2212568104810879</c:v>
                </c:pt>
                <c:pt idx="779">
                  <c:v>-3.2347489516228962</c:v>
                </c:pt>
                <c:pt idx="780">
                  <c:v>-3.2482411061255019</c:v>
                </c:pt>
                <c:pt idx="781">
                  <c:v>-3.2617332739886242</c:v>
                </c:pt>
                <c:pt idx="782">
                  <c:v>-3.2752254552119826</c:v>
                </c:pt>
                <c:pt idx="783">
                  <c:v>-3.2887176497952959</c:v>
                </c:pt>
                <c:pt idx="784">
                  <c:v>-3.3022098577382835</c:v>
                </c:pt>
                <c:pt idx="785">
                  <c:v>-3.3157020790406646</c:v>
                </c:pt>
                <c:pt idx="786">
                  <c:v>-3.3291943137021582</c:v>
                </c:pt>
                <c:pt idx="787">
                  <c:v>-3.3426865617224837</c:v>
                </c:pt>
                <c:pt idx="788">
                  <c:v>-3.3561788231013598</c:v>
                </c:pt>
                <c:pt idx="789">
                  <c:v>-3.369671097838506</c:v>
                </c:pt>
                <c:pt idx="790">
                  <c:v>-3.3831633859336416</c:v>
                </c:pt>
                <c:pt idx="791">
                  <c:v>-3.3966556873864855</c:v>
                </c:pt>
                <c:pt idx="792">
                  <c:v>-3.410148002196757</c:v>
                </c:pt>
                <c:pt idx="793">
                  <c:v>-3.4236403303641754</c:v>
                </c:pt>
                <c:pt idx="794">
                  <c:v>-3.4371326718884596</c:v>
                </c:pt>
                <c:pt idx="795">
                  <c:v>-3.450625026769329</c:v>
                </c:pt>
                <c:pt idx="796">
                  <c:v>-3.464117395006503</c:v>
                </c:pt>
                <c:pt idx="797">
                  <c:v>-3.4776097765997003</c:v>
                </c:pt>
                <c:pt idx="798">
                  <c:v>-3.4911021715486403</c:v>
                </c:pt>
                <c:pt idx="799">
                  <c:v>-3.5045945798530425</c:v>
                </c:pt>
                <c:pt idx="800">
                  <c:v>-3.5180870015126255</c:v>
                </c:pt>
                <c:pt idx="801">
                  <c:v>-3.5315794365271089</c:v>
                </c:pt>
                <c:pt idx="802">
                  <c:v>-3.5450718848962119</c:v>
                </c:pt>
                <c:pt idx="803">
                  <c:v>-3.5585643466196539</c:v>
                </c:pt>
                <c:pt idx="804">
                  <c:v>-3.5720568216971538</c:v>
                </c:pt>
                <c:pt idx="805">
                  <c:v>-3.5855493101284308</c:v>
                </c:pt>
                <c:pt idx="806">
                  <c:v>-3.5990418119132044</c:v>
                </c:pt>
                <c:pt idx="807">
                  <c:v>-3.6125343270511934</c:v>
                </c:pt>
                <c:pt idx="808">
                  <c:v>-3.6260268555421171</c:v>
                </c:pt>
                <c:pt idx="809">
                  <c:v>-3.639519397385695</c:v>
                </c:pt>
                <c:pt idx="810">
                  <c:v>-3.6530119525816462</c:v>
                </c:pt>
                <c:pt idx="811">
                  <c:v>-3.6665045211296903</c:v>
                </c:pt>
                <c:pt idx="812">
                  <c:v>-3.679997103029546</c:v>
                </c:pt>
                <c:pt idx="813">
                  <c:v>-3.6934896982809327</c:v>
                </c:pt>
                <c:pt idx="814">
                  <c:v>-3.7069823068835697</c:v>
                </c:pt>
                <c:pt idx="815">
                  <c:v>-3.7204749288371759</c:v>
                </c:pt>
                <c:pt idx="816">
                  <c:v>-3.7339675641414711</c:v>
                </c:pt>
                <c:pt idx="817">
                  <c:v>-3.7474602127961743</c:v>
                </c:pt>
                <c:pt idx="818">
                  <c:v>-3.7609528748010046</c:v>
                </c:pt>
                <c:pt idx="819">
                  <c:v>-3.7744455501556815</c:v>
                </c:pt>
                <c:pt idx="820">
                  <c:v>-3.7879382388599239</c:v>
                </c:pt>
                <c:pt idx="821">
                  <c:v>-3.8014309409134515</c:v>
                </c:pt>
                <c:pt idx="822">
                  <c:v>-3.8149236563159832</c:v>
                </c:pt>
                <c:pt idx="823">
                  <c:v>-3.8284163850672384</c:v>
                </c:pt>
                <c:pt idx="824">
                  <c:v>-3.8419091271669363</c:v>
                </c:pt>
                <c:pt idx="825">
                  <c:v>-3.8554018826147964</c:v>
                </c:pt>
                <c:pt idx="826">
                  <c:v>-3.868894651410538</c:v>
                </c:pt>
                <c:pt idx="827">
                  <c:v>-3.8823874335538799</c:v>
                </c:pt>
                <c:pt idx="828">
                  <c:v>-3.895880229044542</c:v>
                </c:pt>
                <c:pt idx="829">
                  <c:v>-3.9093730378822431</c:v>
                </c:pt>
                <c:pt idx="830">
                  <c:v>-3.9228658600667026</c:v>
                </c:pt>
                <c:pt idx="831">
                  <c:v>-3.9363586955976397</c:v>
                </c:pt>
                <c:pt idx="832">
                  <c:v>-3.9498515444747739</c:v>
                </c:pt>
                <c:pt idx="833">
                  <c:v>-3.9633444066978245</c:v>
                </c:pt>
                <c:pt idx="834">
                  <c:v>-3.9768372822665103</c:v>
                </c:pt>
                <c:pt idx="835">
                  <c:v>-3.9903301711805512</c:v>
                </c:pt>
                <c:pt idx="836">
                  <c:v>-4.0038230734396665</c:v>
                </c:pt>
                <c:pt idx="837">
                  <c:v>-4.017315989043575</c:v>
                </c:pt>
                <c:pt idx="838">
                  <c:v>-4.0308089179919966</c:v>
                </c:pt>
                <c:pt idx="839">
                  <c:v>-4.0443018602846497</c:v>
                </c:pt>
                <c:pt idx="840">
                  <c:v>-4.0577948159212545</c:v>
                </c:pt>
                <c:pt idx="841">
                  <c:v>-4.0712877849015303</c:v>
                </c:pt>
                <c:pt idx="842">
                  <c:v>-4.0847807672251957</c:v>
                </c:pt>
                <c:pt idx="843">
                  <c:v>-4.0982737628919708</c:v>
                </c:pt>
                <c:pt idx="844">
                  <c:v>-4.111766771901574</c:v>
                </c:pt>
                <c:pt idx="845">
                  <c:v>-4.1252597942537257</c:v>
                </c:pt>
                <c:pt idx="846">
                  <c:v>-4.1387528299481442</c:v>
                </c:pt>
                <c:pt idx="847">
                  <c:v>-4.1522458789845498</c:v>
                </c:pt>
                <c:pt idx="848">
                  <c:v>-4.1657389413626609</c:v>
                </c:pt>
                <c:pt idx="849">
                  <c:v>-4.1792320170821977</c:v>
                </c:pt>
                <c:pt idx="850">
                  <c:v>-4.1927251061428787</c:v>
                </c:pt>
                <c:pt idx="851">
                  <c:v>-4.2062182085444242</c:v>
                </c:pt>
                <c:pt idx="852">
                  <c:v>-4.2197113242865525</c:v>
                </c:pt>
                <c:pt idx="853">
                  <c:v>-4.233204453368983</c:v>
                </c:pt>
                <c:pt idx="854">
                  <c:v>-4.2466975957914359</c:v>
                </c:pt>
                <c:pt idx="855">
                  <c:v>-4.2601907515536297</c:v>
                </c:pt>
                <c:pt idx="856">
                  <c:v>-4.2736839206552846</c:v>
                </c:pt>
                <c:pt idx="857">
                  <c:v>-4.2871771030961199</c:v>
                </c:pt>
                <c:pt idx="858">
                  <c:v>-4.3006702988758541</c:v>
                </c:pt>
                <c:pt idx="859">
                  <c:v>-4.3141635079942073</c:v>
                </c:pt>
                <c:pt idx="860">
                  <c:v>-4.3276567304508982</c:v>
                </c:pt>
                <c:pt idx="861">
                  <c:v>-4.3411499662456468</c:v>
                </c:pt>
                <c:pt idx="862">
                  <c:v>-4.3546432153781724</c:v>
                </c:pt>
                <c:pt idx="863">
                  <c:v>-4.3681364778481937</c:v>
                </c:pt>
                <c:pt idx="864">
                  <c:v>-4.3816297536554307</c:v>
                </c:pt>
                <c:pt idx="865">
                  <c:v>-4.3951230427996029</c:v>
                </c:pt>
                <c:pt idx="866">
                  <c:v>-4.4086163452804294</c:v>
                </c:pt>
                <c:pt idx="867">
                  <c:v>-4.4221096610976289</c:v>
                </c:pt>
                <c:pt idx="868">
                  <c:v>-4.4356029902509215</c:v>
                </c:pt>
                <c:pt idx="869">
                  <c:v>-4.4490963327400266</c:v>
                </c:pt>
                <c:pt idx="870">
                  <c:v>-4.4625896885646634</c:v>
                </c:pt>
                <c:pt idx="871">
                  <c:v>-4.4760830577245523</c:v>
                </c:pt>
                <c:pt idx="872">
                  <c:v>-4.4895764402194116</c:v>
                </c:pt>
                <c:pt idx="873">
                  <c:v>-4.5030698360489607</c:v>
                </c:pt>
                <c:pt idx="874">
                  <c:v>-4.516563245212919</c:v>
                </c:pt>
                <c:pt idx="875">
                  <c:v>-4.5300566677110066</c:v>
                </c:pt>
                <c:pt idx="876">
                  <c:v>-4.543550103542942</c:v>
                </c:pt>
                <c:pt idx="877">
                  <c:v>-4.5570435527084454</c:v>
                </c:pt>
                <c:pt idx="878">
                  <c:v>-4.5705370152072353</c:v>
                </c:pt>
                <c:pt idx="879">
                  <c:v>-4.5840304910390319</c:v>
                </c:pt>
                <c:pt idx="880">
                  <c:v>-4.5975239802035546</c:v>
                </c:pt>
                <c:pt idx="881">
                  <c:v>-4.6110174827005217</c:v>
                </c:pt>
                <c:pt idx="882">
                  <c:v>-4.6245109985296535</c:v>
                </c:pt>
                <c:pt idx="883">
                  <c:v>-4.6380045276906694</c:v>
                </c:pt>
                <c:pt idx="884">
                  <c:v>-4.6514980701832895</c:v>
                </c:pt>
                <c:pt idx="885">
                  <c:v>-4.6649916260072324</c:v>
                </c:pt>
                <c:pt idx="886">
                  <c:v>-4.6784851951622173</c:v>
                </c:pt>
                <c:pt idx="887">
                  <c:v>-4.6919787776479644</c:v>
                </c:pt>
                <c:pt idx="888">
                  <c:v>-4.7054723734641923</c:v>
                </c:pt>
                <c:pt idx="889">
                  <c:v>-4.7189659826106212</c:v>
                </c:pt>
                <c:pt idx="890">
                  <c:v>-4.7324596050869703</c:v>
                </c:pt>
                <c:pt idx="891">
                  <c:v>-4.745953240892959</c:v>
                </c:pt>
                <c:pt idx="892">
                  <c:v>-4.7594468900283067</c:v>
                </c:pt>
                <c:pt idx="893">
                  <c:v>-4.7729405524927326</c:v>
                </c:pt>
                <c:pt idx="894">
                  <c:v>-4.7864342282859562</c:v>
                </c:pt>
                <c:pt idx="895">
                  <c:v>-4.7999279174076968</c:v>
                </c:pt>
                <c:pt idx="896">
                  <c:v>-4.8134216198576745</c:v>
                </c:pt>
                <c:pt idx="897">
                  <c:v>-4.8269153356356087</c:v>
                </c:pt>
                <c:pt idx="898">
                  <c:v>-4.8404090647412188</c:v>
                </c:pt>
                <c:pt idx="899">
                  <c:v>-4.8539028071742241</c:v>
                </c:pt>
                <c:pt idx="900">
                  <c:v>-4.8673965629343439</c:v>
                </c:pt>
                <c:pt idx="901">
                  <c:v>-4.8808903320212975</c:v>
                </c:pt>
                <c:pt idx="902">
                  <c:v>-4.8943841144348044</c:v>
                </c:pt>
                <c:pt idx="903">
                  <c:v>-4.9078779101745846</c:v>
                </c:pt>
                <c:pt idx="904">
                  <c:v>-4.9213717192403577</c:v>
                </c:pt>
                <c:pt idx="905">
                  <c:v>-4.9348655416318428</c:v>
                </c:pt>
                <c:pt idx="906">
                  <c:v>-4.9483593773487593</c:v>
                </c:pt>
                <c:pt idx="907">
                  <c:v>-4.9618532263908266</c:v>
                </c:pt>
                <c:pt idx="908">
                  <c:v>-4.975347088757764</c:v>
                </c:pt>
                <c:pt idx="909">
                  <c:v>-4.9888409644492917</c:v>
                </c:pt>
                <c:pt idx="910">
                  <c:v>-5.0023348534651291</c:v>
                </c:pt>
                <c:pt idx="911">
                  <c:v>-5.0158287558049945</c:v>
                </c:pt>
                <c:pt idx="912">
                  <c:v>-5.0293226714686092</c:v>
                </c:pt>
                <c:pt idx="913">
                  <c:v>-5.0428166004556916</c:v>
                </c:pt>
                <c:pt idx="914">
                  <c:v>-5.0563105427659609</c:v>
                </c:pt>
                <c:pt idx="915">
                  <c:v>-5.0698044983991375</c:v>
                </c:pt>
                <c:pt idx="916">
                  <c:v>-5.0832984673549406</c:v>
                </c:pt>
                <c:pt idx="917">
                  <c:v>-5.0967924496330896</c:v>
                </c:pt>
                <c:pt idx="918">
                  <c:v>-5.1102864452333039</c:v>
                </c:pt>
                <c:pt idx="919">
                  <c:v>-5.1237804541553036</c:v>
                </c:pt>
                <c:pt idx="920">
                  <c:v>-5.1372744763988072</c:v>
                </c:pt>
                <c:pt idx="921">
                  <c:v>-5.1507685119635349</c:v>
                </c:pt>
                <c:pt idx="922">
                  <c:v>-5.1642625608492061</c:v>
                </c:pt>
                <c:pt idx="923">
                  <c:v>-5.1777566230555401</c:v>
                </c:pt>
                <c:pt idx="924">
                  <c:v>-5.1912506985822571</c:v>
                </c:pt>
                <c:pt idx="925">
                  <c:v>-5.2047447874290764</c:v>
                </c:pt>
                <c:pt idx="926">
                  <c:v>-5.2182388895957175</c:v>
                </c:pt>
                <c:pt idx="927">
                  <c:v>-5.2317330050818995</c:v>
                </c:pt>
                <c:pt idx="928">
                  <c:v>-5.245227133887342</c:v>
                </c:pt>
                <c:pt idx="929">
                  <c:v>-5.258721276011765</c:v>
                </c:pt>
                <c:pt idx="930">
                  <c:v>-5.2722154314548879</c:v>
                </c:pt>
                <c:pt idx="931">
                  <c:v>-5.2857096002164301</c:v>
                </c:pt>
                <c:pt idx="932">
                  <c:v>-5.2992037822961109</c:v>
                </c:pt>
                <c:pt idx="933">
                  <c:v>-5.3126979776936505</c:v>
                </c:pt>
                <c:pt idx="934">
                  <c:v>-5.3261921864087682</c:v>
                </c:pt>
                <c:pt idx="935">
                  <c:v>-5.3396864084411835</c:v>
                </c:pt>
                <c:pt idx="936">
                  <c:v>-5.3531806437906155</c:v>
                </c:pt>
                <c:pt idx="937">
                  <c:v>-5.3666748924567846</c:v>
                </c:pt>
                <c:pt idx="938">
                  <c:v>-5.3801691544394092</c:v>
                </c:pt>
                <c:pt idx="939">
                  <c:v>-5.3936634297382096</c:v>
                </c:pt>
                <c:pt idx="940">
                  <c:v>-5.4071577183529058</c:v>
                </c:pt>
                <c:pt idx="941">
                  <c:v>-5.4206520202832165</c:v>
                </c:pt>
                <c:pt idx="942">
                  <c:v>-5.4341463355288617</c:v>
                </c:pt>
                <c:pt idx="943">
                  <c:v>-5.4476406640895618</c:v>
                </c:pt>
                <c:pt idx="944">
                  <c:v>-5.4611350059650352</c:v>
                </c:pt>
                <c:pt idx="945">
                  <c:v>-5.4746293611550021</c:v>
                </c:pt>
                <c:pt idx="946">
                  <c:v>-5.4881237296591818</c:v>
                </c:pt>
                <c:pt idx="947">
                  <c:v>-5.5016181114772937</c:v>
                </c:pt>
                <c:pt idx="948">
                  <c:v>-5.5151125066090581</c:v>
                </c:pt>
                <c:pt idx="949">
                  <c:v>-5.5286069150541941</c:v>
                </c:pt>
                <c:pt idx="950">
                  <c:v>-5.5421013368124212</c:v>
                </c:pt>
                <c:pt idx="951">
                  <c:v>-5.5555957718834588</c:v>
                </c:pt>
                <c:pt idx="952">
                  <c:v>-5.5690902202670269</c:v>
                </c:pt>
                <c:pt idx="953">
                  <c:v>-5.5825846819628451</c:v>
                </c:pt>
                <c:pt idx="954">
                  <c:v>-5.5960791569706325</c:v>
                </c:pt>
                <c:pt idx="955">
                  <c:v>-5.6095736452901095</c:v>
                </c:pt>
                <c:pt idx="956">
                  <c:v>-5.6230681469209953</c:v>
                </c:pt>
                <c:pt idx="957">
                  <c:v>-5.6365626618630094</c:v>
                </c:pt>
                <c:pt idx="958">
                  <c:v>-5.6500571901158718</c:v>
                </c:pt>
                <c:pt idx="959">
                  <c:v>-5.663551731679302</c:v>
                </c:pt>
                <c:pt idx="960">
                  <c:v>-5.6770462865530193</c:v>
                </c:pt>
                <c:pt idx="961">
                  <c:v>-5.690540854736744</c:v>
                </c:pt>
                <c:pt idx="962">
                  <c:v>-5.7040354362301953</c:v>
                </c:pt>
                <c:pt idx="963">
                  <c:v>-5.7175300310330925</c:v>
                </c:pt>
                <c:pt idx="964">
                  <c:v>-5.731024639145156</c:v>
                </c:pt>
                <c:pt idx="965">
                  <c:v>-5.7445192605661051</c:v>
                </c:pt>
                <c:pt idx="966">
                  <c:v>-5.758013895295659</c:v>
                </c:pt>
                <c:pt idx="967">
                  <c:v>-5.771508543333538</c:v>
                </c:pt>
                <c:pt idx="968">
                  <c:v>-5.7850032046794606</c:v>
                </c:pt>
                <c:pt idx="969">
                  <c:v>-5.7984978793331479</c:v>
                </c:pt>
                <c:pt idx="970">
                  <c:v>-5.8119925672943182</c:v>
                </c:pt>
                <c:pt idx="971">
                  <c:v>-5.8254872685626928</c:v>
                </c:pt>
                <c:pt idx="972">
                  <c:v>-5.8389819831379901</c:v>
                </c:pt>
                <c:pt idx="973">
                  <c:v>-5.8524767110199303</c:v>
                </c:pt>
                <c:pt idx="974">
                  <c:v>-5.8659714522082327</c:v>
                </c:pt>
                <c:pt idx="975">
                  <c:v>-5.8794662067026167</c:v>
                </c:pt>
                <c:pt idx="976">
                  <c:v>-5.8929609745028024</c:v>
                </c:pt>
                <c:pt idx="977">
                  <c:v>-5.9064557556085093</c:v>
                </c:pt>
                <c:pt idx="978">
                  <c:v>-5.9199505500194576</c:v>
                </c:pt>
                <c:pt idx="979">
                  <c:v>-5.9334453577353665</c:v>
                </c:pt>
                <c:pt idx="980">
                  <c:v>-5.9469401787559555</c:v>
                </c:pt>
                <c:pt idx="981">
                  <c:v>-5.9604350130809447</c:v>
                </c:pt>
                <c:pt idx="982">
                  <c:v>-5.9739298607100535</c:v>
                </c:pt>
                <c:pt idx="983">
                  <c:v>-5.9874247216430021</c:v>
                </c:pt>
                <c:pt idx="984">
                  <c:v>-6.0009195958795098</c:v>
                </c:pt>
                <c:pt idx="985">
                  <c:v>-6.0144144834192961</c:v>
                </c:pt>
                <c:pt idx="986">
                  <c:v>-6.027909384262081</c:v>
                </c:pt>
                <c:pt idx="987">
                  <c:v>-6.041404298407584</c:v>
                </c:pt>
                <c:pt idx="988">
                  <c:v>-6.0548992258555243</c:v>
                </c:pt>
                <c:pt idx="989">
                  <c:v>-6.0683941666056223</c:v>
                </c:pt>
                <c:pt idx="990">
                  <c:v>-6.081889120657598</c:v>
                </c:pt>
                <c:pt idx="991">
                  <c:v>-6.09538408801117</c:v>
                </c:pt>
                <c:pt idx="992">
                  <c:v>-6.1088790686660586</c:v>
                </c:pt>
                <c:pt idx="993">
                  <c:v>-6.1223740626219838</c:v>
                </c:pt>
                <c:pt idx="994">
                  <c:v>-6.1358690698786651</c:v>
                </c:pt>
                <c:pt idx="995">
                  <c:v>-6.1493640904358227</c:v>
                </c:pt>
                <c:pt idx="996">
                  <c:v>-6.162859124293175</c:v>
                </c:pt>
                <c:pt idx="997">
                  <c:v>-6.1763541714504431</c:v>
                </c:pt>
                <c:pt idx="998">
                  <c:v>-6.1898492319073455</c:v>
                </c:pt>
                <c:pt idx="999">
                  <c:v>-6.2033443056636033</c:v>
                </c:pt>
                <c:pt idx="1000">
                  <c:v>-6.2168393927189349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C-E84B-8A2E-77A3E8DE6A60}"/>
            </c:ext>
          </c:extLst>
        </c:ser>
        <c:ser>
          <c:idx val="2"/>
          <c:order val="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BC-E84B-8A2E-77A3E8DE6A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Trajecto!$B$131:$B$137</c:f>
              <c:numCache>
                <c:formatCode>0.0</c:formatCode>
                <c:ptCount val="7"/>
                <c:pt idx="0">
                  <c:v>19</c:v>
                </c:pt>
                <c:pt idx="1">
                  <c:v>138.12296028948123</c:v>
                </c:pt>
                <c:pt idx="2">
                  <c:v>257.24592057896245</c:v>
                </c:pt>
                <c:pt idx="3">
                  <c:v>255.48169802267452</c:v>
                </c:pt>
                <c:pt idx="4">
                  <c:v>257.24592057896245</c:v>
                </c:pt>
                <c:pt idx="5">
                  <c:v>251.34169802267451</c:v>
                </c:pt>
                <c:pt idx="6">
                  <c:v>257.24592057896245</c:v>
                </c:pt>
              </c:numCache>
            </c:numRef>
          </c:xVal>
          <c:yVal>
            <c:numRef>
              <c:f>Trajecto!$C$129:$C$135</c:f>
              <c:numCache>
                <c:formatCode>0</c:formatCode>
                <c:ptCount val="7"/>
                <c:pt idx="0">
                  <c:v>1926.4500239828867</c:v>
                </c:pt>
                <c:pt idx="1">
                  <c:v>963.22501199144335</c:v>
                </c:pt>
                <c:pt idx="2">
                  <c:v>0</c:v>
                </c:pt>
                <c:pt idx="3">
                  <c:v>45.363809353636853</c:v>
                </c:pt>
                <c:pt idx="4">
                  <c:v>0</c:v>
                </c:pt>
                <c:pt idx="5">
                  <c:v>16.647985411211991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C-E84B-8A2E-77A3E8DE6A60}"/>
            </c:ext>
          </c:extLst>
        </c:ser>
        <c:ser>
          <c:idx val="3"/>
          <c:order val="4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BC-E84B-8A2E-77A3E8DE6A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Trajecto!$B$148:$B$154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Trajecto!$C$146:$C$152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BC-E84B-8A2E-77A3E8DE6A60}"/>
            </c:ext>
          </c:extLst>
        </c:ser>
        <c:ser>
          <c:idx val="5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1.3233354686966879E-4</c:v>
                </c:pt>
                <c:pt idx="2">
                  <c:v>1.7678971011637825E-3</c:v>
                </c:pt>
                <c:pt idx="3">
                  <c:v>7.3846649585392532E-3</c:v>
                </c:pt>
                <c:pt idx="4">
                  <c:v>1.9462765294790782E-2</c:v>
                </c:pt>
                <c:pt idx="5">
                  <c:v>4.0485388323537631E-2</c:v>
                </c:pt>
                <c:pt idx="6">
                  <c:v>7.2311495227104908E-2</c:v>
                </c:pt>
                <c:pt idx="7">
                  <c:v>0.11554661406552218</c:v>
                </c:pt>
                <c:pt idx="8">
                  <c:v>0.17016875077340787</c:v>
                </c:pt>
                <c:pt idx="9">
                  <c:v>0.23615576217981632</c:v>
                </c:pt>
                <c:pt idx="10">
                  <c:v>0.3134853564423159</c:v>
                </c:pt>
                <c:pt idx="11">
                  <c:v>0.40213509348839366</c:v>
                </c:pt>
                <c:pt idx="12">
                  <c:v>0.5020823854641463</c:v>
                </c:pt>
                <c:pt idx="13">
                  <c:v>0.61330449719021651</c:v>
                </c:pt>
                <c:pt idx="14">
                  <c:v>0.73577854662493314</c:v>
                </c:pt>
                <c:pt idx="15">
                  <c:v>0.86948150533461188</c:v>
                </c:pt>
                <c:pt idx="16">
                  <c:v>1.0143901989709738</c:v>
                </c:pt>
                <c:pt idx="17">
                  <c:v>1.1704813077556369</c:v>
                </c:pt>
                <c:pt idx="18">
                  <c:v>1.3377313669716355</c:v>
                </c:pt>
                <c:pt idx="19">
                  <c:v>1.5161167674619227</c:v>
                </c:pt>
                <c:pt idx="20">
                  <c:v>1.705613756134807</c:v>
                </c:pt>
                <c:pt idx="21">
                  <c:v>1.9061984364762792</c:v>
                </c:pt>
                <c:pt idx="22">
                  <c:v>2.1178467690691769</c:v>
                </c:pt>
                <c:pt idx="23">
                  <c:v>2.3405345721191422</c:v>
                </c:pt>
                <c:pt idx="24">
                  <c:v>2.5742375219873179</c:v>
                </c:pt>
                <c:pt idx="25">
                  <c:v>2.8189311537297388</c:v>
                </c:pt>
                <c:pt idx="26">
                  <c:v>3.0745908616433573</c:v>
                </c:pt>
                <c:pt idx="27">
                  <c:v>3.3411918998186607</c:v>
                </c:pt>
                <c:pt idx="28">
                  <c:v>3.6187093826988224</c:v>
                </c:pt>
                <c:pt idx="29">
                  <c:v>3.9071182856453341</c:v>
                </c:pt>
                <c:pt idx="30">
                  <c:v>4.2063934455100664</c:v>
                </c:pt>
                <c:pt idx="31">
                  <c:v>4.5165058330928476</c:v>
                </c:pt>
                <c:pt idx="32">
                  <c:v>4.8374261449249225</c:v>
                </c:pt>
                <c:pt idx="33">
                  <c:v>5.1691285340213797</c:v>
                </c:pt>
                <c:pt idx="34">
                  <c:v>5.5115870234091933</c:v>
                </c:pt>
                <c:pt idx="35">
                  <c:v>5.8647755085918361</c:v>
                </c:pt>
                <c:pt idx="36">
                  <c:v>6.2286677577231684</c:v>
                </c:pt>
                <c:pt idx="37">
                  <c:v>6.6032374118248418</c:v>
                </c:pt>
                <c:pt idx="38">
                  <c:v>6.9884579850429116</c:v>
                </c:pt>
                <c:pt idx="39">
                  <c:v>7.3843028649399383</c:v>
                </c:pt>
                <c:pt idx="40">
                  <c:v>7.7907453128193618</c:v>
                </c:pt>
                <c:pt idx="41">
                  <c:v>8.207758464079328</c:v>
                </c:pt>
                <c:pt idx="42">
                  <c:v>8.6353153285935189</c:v>
                </c:pt>
                <c:pt idx="43">
                  <c:v>9.0733887911168214</c:v>
                </c:pt>
                <c:pt idx="44">
                  <c:v>9.5219516117139342</c:v>
                </c:pt>
                <c:pt idx="45">
                  <c:v>9.9809764262092102</c:v>
                </c:pt>
                <c:pt idx="46">
                  <c:v>10.45043574665625</c:v>
                </c:pt>
                <c:pt idx="47">
                  <c:v>10.930301961825897</c:v>
                </c:pt>
                <c:pt idx="48">
                  <c:v>11.420547337711429</c:v>
                </c:pt>
                <c:pt idx="49">
                  <c:v>11.921144018049887</c:v>
                </c:pt>
                <c:pt idx="50">
                  <c:v>12.432064024858539</c:v>
                </c:pt>
                <c:pt idx="51">
                  <c:v>12.953282582380416</c:v>
                </c:pt>
                <c:pt idx="52">
                  <c:v>13.484781447029643</c:v>
                </c:pt>
                <c:pt idx="53">
                  <c:v>14.026545592720122</c:v>
                </c:pt>
                <c:pt idx="54">
                  <c:v>14.578559890023286</c:v>
                </c:pt>
                <c:pt idx="55">
                  <c:v>15.140809106374764</c:v>
                </c:pt>
                <c:pt idx="56">
                  <c:v>15.713277906290934</c:v>
                </c:pt>
                <c:pt idx="57">
                  <c:v>16.295950851594956</c:v>
                </c:pt>
                <c:pt idx="58">
                  <c:v>16.888812401651926</c:v>
                </c:pt>
                <c:pt idx="59">
                  <c:v>17.49184691361279</c:v>
                </c:pt>
                <c:pt idx="60">
                  <c:v>18.105038642666727</c:v>
                </c:pt>
                <c:pt idx="61">
                  <c:v>18.728371742301682</c:v>
                </c:pt>
                <c:pt idx="62">
                  <c:v>19.361830264572792</c:v>
                </c:pt>
                <c:pt idx="63">
                  <c:v>20.005398160378441</c:v>
                </c:pt>
                <c:pt idx="64">
                  <c:v>20.659059279743751</c:v>
                </c:pt>
                <c:pt idx="65">
                  <c:v>21.322797372111214</c:v>
                </c:pt>
                <c:pt idx="66">
                  <c:v>21.996596086638341</c:v>
                </c:pt>
                <c:pt idx="67">
                  <c:v>22.680438972502074</c:v>
                </c:pt>
                <c:pt idx="68">
                  <c:v>23.37430947920981</c:v>
                </c:pt>
                <c:pt idx="69">
                  <c:v>24.078190956916874</c:v>
                </c:pt>
                <c:pt idx="70">
                  <c:v>24.792066656750261</c:v>
                </c:pt>
                <c:pt idx="71">
                  <c:v>25.515919731138499</c:v>
                </c:pt>
                <c:pt idx="72">
                  <c:v>26.249733234147506</c:v>
                </c:pt>
                <c:pt idx="73">
                  <c:v>26.99349012182228</c:v>
                </c:pt>
                <c:pt idx="74">
                  <c:v>27.747173252534331</c:v>
                </c:pt>
                <c:pt idx="75">
                  <c:v>28.510765387334679</c:v>
                </c:pt>
                <c:pt idx="76">
                  <c:v>29.284249190312352</c:v>
                </c:pt>
                <c:pt idx="77">
                  <c:v>30.067607228958231</c:v>
                </c:pt>
                <c:pt idx="78">
                  <c:v>30.860821974534179</c:v>
                </c:pt>
                <c:pt idx="79">
                  <c:v>31.663875802447297</c:v>
                </c:pt>
                <c:pt idx="80">
                  <c:v>32.476750992629256</c:v>
                </c:pt>
                <c:pt idx="81">
                  <c:v>33.299429729920583</c:v>
                </c:pt>
                <c:pt idx="82">
                  <c:v>34.131894104459818</c:v>
                </c:pt>
                <c:pt idx="83">
                  <c:v>34.97412611207745</c:v>
                </c:pt>
                <c:pt idx="84">
                  <c:v>35.826107654694546</c:v>
                </c:pt>
                <c:pt idx="85">
                  <c:v>36.687820540726001</c:v>
                </c:pt>
                <c:pt idx="86">
                  <c:v>37.559246485488302</c:v>
                </c:pt>
                <c:pt idx="87">
                  <c:v>38.440367111611778</c:v>
                </c:pt>
                <c:pt idx="88">
                  <c:v>39.331163949457171</c:v>
                </c:pt>
                <c:pt idx="89">
                  <c:v>40.231618437536575</c:v>
                </c:pt>
                <c:pt idx="90">
                  <c:v>41.141711922938555</c:v>
                </c:pt>
                <c:pt idx="91">
                  <c:v>42.061425661757454</c:v>
                </c:pt>
                <c:pt idx="92">
                  <c:v>42.990740819526756</c:v>
                </c:pt>
                <c:pt idx="93">
                  <c:v>43.929638471656531</c:v>
                </c:pt>
                <c:pt idx="94">
                  <c:v>44.878099603874766</c:v>
                </c:pt>
                <c:pt idx="95">
                  <c:v>45.836105112672634</c:v>
                </c:pt>
                <c:pt idx="96">
                  <c:v>46.803635805753579</c:v>
                </c:pt>
                <c:pt idx="97">
                  <c:v>47.780672402486154</c:v>
                </c:pt>
                <c:pt idx="98">
                  <c:v>48.767195534360567</c:v>
                </c:pt>
                <c:pt idx="99">
                  <c:v>49.76318574544888</c:v>
                </c:pt>
                <c:pt idx="100">
                  <c:v>50.76862349286877</c:v>
                </c:pt>
                <c:pt idx="101">
                  <c:v>51.783487606594051</c:v>
                </c:pt>
                <c:pt idx="102">
                  <c:v>52.807753747314081</c:v>
                </c:pt>
                <c:pt idx="103">
                  <c:v>53.841395945364965</c:v>
                </c:pt>
                <c:pt idx="104">
                  <c:v>54.884388141708492</c:v>
                </c:pt>
                <c:pt idx="105">
                  <c:v>55.936704188592621</c:v>
                </c:pt>
                <c:pt idx="106">
                  <c:v>56.998317850215017</c:v>
                </c:pt>
                <c:pt idx="107">
                  <c:v>58.069202803389466</c:v>
                </c:pt>
                <c:pt idx="108">
                  <c:v>59.149332638215199</c:v>
                </c:pt>
                <c:pt idx="109">
                  <c:v>60.238680858748971</c:v>
                </c:pt>
                <c:pt idx="110">
                  <c:v>61.337220883679876</c:v>
                </c:pt>
                <c:pt idx="111">
                  <c:v>62.444926047006803</c:v>
                </c:pt>
                <c:pt idx="112">
                  <c:v>63.561769598718449</c:v>
                </c:pt>
                <c:pt idx="113">
                  <c:v>64.68772470547583</c:v>
                </c:pt>
                <c:pt idx="114">
                  <c:v>65.822764451297246</c:v>
                </c:pt>
                <c:pt idx="115">
                  <c:v>66.966861838245549</c:v>
                </c:pt>
                <c:pt idx="116">
                  <c:v>68.11998978711776</c:v>
                </c:pt>
                <c:pt idx="117">
                  <c:v>69.282121138136816</c:v>
                </c:pt>
                <c:pt idx="118">
                  <c:v>70.453228651645574</c:v>
                </c:pt>
                <c:pt idx="119">
                  <c:v>71.633285008802815</c:v>
                </c:pt>
                <c:pt idx="120">
                  <c:v>72.822262812281238</c:v>
                </c:pt>
                <c:pt idx="121">
                  <c:v>74.020134586967501</c:v>
                </c:pt>
                <c:pt idx="122">
                  <c:v>75.22687278066401</c:v>
                </c:pt>
                <c:pt idx="123">
                  <c:v>76.442449764792599</c:v>
                </c:pt>
                <c:pt idx="124">
                  <c:v>77.666837835099912</c:v>
                </c:pt>
                <c:pt idx="125">
                  <c:v>78.900009212364466</c:v>
                </c:pt>
                <c:pt idx="126">
                  <c:v>80.141936043105346</c:v>
                </c:pt>
                <c:pt idx="127">
                  <c:v>81.392590400292406</c:v>
                </c:pt>
                <c:pt idx="128">
                  <c:v>82.651944284057933</c:v>
                </c:pt>
                <c:pt idx="129">
                  <c:v>83.919969622409795</c:v>
                </c:pt>
                <c:pt idx="130">
                  <c:v>85.196638271945858</c:v>
                </c:pt>
                <c:pt idx="131">
                  <c:v>86.481922018569733</c:v>
                </c:pt>
                <c:pt idx="132">
                  <c:v>87.775792578207728</c:v>
                </c:pt>
                <c:pt idx="133">
                  <c:v>89.07822159752692</c:v>
                </c:pt>
                <c:pt idx="134">
                  <c:v>90.38918065465441</c:v>
                </c:pt>
                <c:pt idx="135">
                  <c:v>91.708641259897504</c:v>
                </c:pt>
                <c:pt idx="136">
                  <c:v>93.036574856464924</c:v>
                </c:pt>
                <c:pt idx="137">
                  <c:v>94.372952821188889</c:v>
                </c:pt>
                <c:pt idx="138">
                  <c:v>95.717746465248098</c:v>
                </c:pt>
                <c:pt idx="139">
                  <c:v>97.070927034891398</c:v>
                </c:pt>
                <c:pt idx="140">
                  <c:v>98.432465712162269</c:v>
                </c:pt>
                <c:pt idx="141">
                  <c:v>99.80233361562388</c:v>
                </c:pt>
                <c:pt idx="142">
                  <c:v>101.18050180108484</c:v>
                </c:pt>
                <c:pt idx="143">
                  <c:v>102.56694126232541</c:v>
                </c:pt>
                <c:pt idx="144">
                  <c:v>103.96162293182422</c:v>
                </c:pt>
                <c:pt idx="145">
                  <c:v>105.36451768148538</c:v>
                </c:pt>
                <c:pt idx="146">
                  <c:v>106.77559632336603</c:v>
                </c:pt>
                <c:pt idx="147">
                  <c:v>108.19482961040408</c:v>
                </c:pt>
                <c:pt idx="148">
                  <c:v>109.62218823714632</c:v>
                </c:pt>
                <c:pt idx="149">
                  <c:v>111.05764284047656</c:v>
                </c:pt>
                <c:pt idx="150">
                  <c:v>112.50116400034405</c:v>
                </c:pt>
                <c:pt idx="151">
                  <c:v>113.95272276739166</c:v>
                </c:pt>
                <c:pt idx="152">
                  <c:v>115.41229119093816</c:v>
                </c:pt>
                <c:pt idx="153">
                  <c:v>116.87984179297801</c:v>
                </c:pt>
                <c:pt idx="154">
                  <c:v>118.35534704179793</c:v>
                </c:pt>
                <c:pt idx="155">
                  <c:v>119.83877935264707</c:v>
                </c:pt>
                <c:pt idx="156">
                  <c:v>121.33011108840719</c:v>
                </c:pt>
                <c:pt idx="157">
                  <c:v>122.8293145602629</c:v>
                </c:pt>
                <c:pt idx="158">
                  <c:v>124.33636202837172</c:v>
                </c:pt>
                <c:pt idx="159">
                  <c:v>125.85122570253425</c:v>
                </c:pt>
                <c:pt idx="160">
                  <c:v>127.37387774286398</c:v>
                </c:pt>
                <c:pt idx="161">
                  <c:v>128.90429026045709</c:v>
                </c:pt>
                <c:pt idx="162">
                  <c:v>130.44243531806183</c:v>
                </c:pt>
                <c:pt idx="163">
                  <c:v>131.98828493074782</c:v>
                </c:pt>
                <c:pt idx="164">
                  <c:v>133.54181106657484</c:v>
                </c:pt>
                <c:pt idx="165">
                  <c:v>135.10298564726125</c:v>
                </c:pt>
                <c:pt idx="166">
                  <c:v>136.6717805488521</c:v>
                </c:pt>
                <c:pt idx="167">
                  <c:v>138.24816760238656</c:v>
                </c:pt>
                <c:pt idx="168">
                  <c:v>139.83211859456503</c:v>
                </c:pt>
                <c:pt idx="169">
                  <c:v>141.42360526841551</c:v>
                </c:pt>
                <c:pt idx="170">
                  <c:v>143.0225993239595</c:v>
                </c:pt>
                <c:pt idx="171">
                  <c:v>144.62907241887703</c:v>
                </c:pt>
                <c:pt idx="172">
                  <c:v>146.24299616917116</c:v>
                </c:pt>
                <c:pt idx="173">
                  <c:v>147.86434214983169</c:v>
                </c:pt>
                <c:pt idx="174">
                  <c:v>149.49308189549794</c:v>
                </c:pt>
                <c:pt idx="175">
                  <c:v>151.12918690112082</c:v>
                </c:pt>
                <c:pt idx="176">
                  <c:v>152.77262862262401</c:v>
                </c:pt>
                <c:pt idx="177">
                  <c:v>154.42337847756406</c:v>
                </c:pt>
                <c:pt idx="178">
                  <c:v>156.08140784578967</c:v>
                </c:pt>
                <c:pt idx="179">
                  <c:v>157.74668807009985</c:v>
                </c:pt>
                <c:pt idx="180">
                  <c:v>159.41919045690108</c:v>
                </c:pt>
                <c:pt idx="181">
                  <c:v>161.09888627686325</c:v>
                </c:pt>
                <c:pt idx="182">
                  <c:v>162.78574676557466</c:v>
                </c:pt>
                <c:pt idx="183">
                  <c:v>164.47974312419555</c:v>
                </c:pt>
                <c:pt idx="184">
                  <c:v>166.18084652011066</c:v>
                </c:pt>
                <c:pt idx="185">
                  <c:v>167.88902808758033</c:v>
                </c:pt>
                <c:pt idx="186">
                  <c:v>169.60425892839038</c:v>
                </c:pt>
                <c:pt idx="187">
                  <c:v>171.32651011250059</c:v>
                </c:pt>
                <c:pt idx="188">
                  <c:v>173.05575267869182</c:v>
                </c:pt>
                <c:pt idx="189">
                  <c:v>174.79195763521167</c:v>
                </c:pt>
                <c:pt idx="190">
                  <c:v>176.53509596041872</c:v>
                </c:pt>
                <c:pt idx="191">
                  <c:v>178.28513860342514</c:v>
                </c:pt>
                <c:pt idx="192">
                  <c:v>180.04205648473786</c:v>
                </c:pt>
                <c:pt idx="193">
                  <c:v>181.80582049689812</c:v>
                </c:pt>
                <c:pt idx="194">
                  <c:v>183.57640150511941</c:v>
                </c:pt>
                <c:pt idx="195">
                  <c:v>185.35377034792367</c:v>
                </c:pt>
                <c:pt idx="196">
                  <c:v>187.13789783777588</c:v>
                </c:pt>
                <c:pt idx="197">
                  <c:v>188.9287547617169</c:v>
                </c:pt>
                <c:pt idx="198">
                  <c:v>190.72631188199449</c:v>
                </c:pt>
                <c:pt idx="199">
                  <c:v>192.53053993669252</c:v>
                </c:pt>
                <c:pt idx="200">
                  <c:v>194.34140964035842</c:v>
                </c:pt>
                <c:pt idx="201">
                  <c:v>196.15889168462871</c:v>
                </c:pt>
                <c:pt idx="202">
                  <c:v>197.98295673885255</c:v>
                </c:pt>
                <c:pt idx="203">
                  <c:v>199.81357545071344</c:v>
                </c:pt>
                <c:pt idx="204">
                  <c:v>201.65071844684888</c:v>
                </c:pt>
                <c:pt idx="205">
                  <c:v>203.49435633346809</c:v>
                </c:pt>
                <c:pt idx="206">
                  <c:v>205.34445969696756</c:v>
                </c:pt>
                <c:pt idx="207">
                  <c:v>207.20099910454465</c:v>
                </c:pt>
                <c:pt idx="208">
                  <c:v>209.06394510480899</c:v>
                </c:pt>
                <c:pt idx="209">
                  <c:v>210.93326822839182</c:v>
                </c:pt>
                <c:pt idx="210">
                  <c:v>212.80893898855305</c:v>
                </c:pt>
                <c:pt idx="211">
                  <c:v>214.69092788178622</c:v>
                </c:pt>
                <c:pt idx="212">
                  <c:v>216.57920538842117</c:v>
                </c:pt>
                <c:pt idx="213">
                  <c:v>218.47374197322449</c:v>
                </c:pt>
                <c:pt idx="214">
                  <c:v>220.3745080859976</c:v>
                </c:pt>
                <c:pt idx="215">
                  <c:v>222.2814741621726</c:v>
                </c:pt>
                <c:pt idx="216">
                  <c:v>224.19461062340571</c:v>
                </c:pt>
                <c:pt idx="217">
                  <c:v>226.11388787816833</c:v>
                </c:pt>
                <c:pt idx="218">
                  <c:v>228.03927632233572</c:v>
                </c:pt>
                <c:pt idx="219">
                  <c:v>229.97074633977329</c:v>
                </c:pt>
                <c:pt idx="220">
                  <c:v>231.90826830292025</c:v>
                </c:pt>
                <c:pt idx="221">
                  <c:v>233.85181257337101</c:v>
                </c:pt>
                <c:pt idx="222">
                  <c:v>235.80134950245395</c:v>
                </c:pt>
                <c:pt idx="223">
                  <c:v>237.75684943180755</c:v>
                </c:pt>
                <c:pt idx="224">
                  <c:v>239.71828269395419</c:v>
                </c:pt>
                <c:pt idx="225">
                  <c:v>241.68561961287116</c:v>
                </c:pt>
                <c:pt idx="226">
                  <c:v>243.65883050455909</c:v>
                </c:pt>
                <c:pt idx="227">
                  <c:v>245.63788567760784</c:v>
                </c:pt>
                <c:pt idx="228">
                  <c:v>247.62275543375966</c:v>
                </c:pt>
                <c:pt idx="229">
                  <c:v>249.61341006846965</c:v>
                </c:pt>
                <c:pt idx="230">
                  <c:v>251.60981987146346</c:v>
                </c:pt>
                <c:pt idx="231">
                  <c:v>253.61195512729248</c:v>
                </c:pt>
                <c:pt idx="232">
                  <c:v>255.61978611588603</c:v>
                </c:pt>
                <c:pt idx="233">
                  <c:v>257.63328311310084</c:v>
                </c:pt>
                <c:pt idx="234">
                  <c:v>259.65241639126788</c:v>
                </c:pt>
                <c:pt idx="235">
                  <c:v>261.6771562197361</c:v>
                </c:pt>
                <c:pt idx="236">
                  <c:v>263.70747286541371</c:v>
                </c:pt>
                <c:pt idx="237">
                  <c:v>265.7433365933062</c:v>
                </c:pt>
                <c:pt idx="238">
                  <c:v>267.78471766705167</c:v>
                </c:pt>
                <c:pt idx="239">
                  <c:v>269.8315863494534</c:v>
                </c:pt>
                <c:pt idx="240">
                  <c:v>271.88391290300927</c:v>
                </c:pt>
                <c:pt idx="241">
                  <c:v>273.94166759043844</c:v>
                </c:pt>
                <c:pt idx="242">
                  <c:v>276.00482067520483</c:v>
                </c:pt>
                <c:pt idx="243">
                  <c:v>278.07334242203791</c:v>
                </c:pt>
                <c:pt idx="244">
                  <c:v>280.14720309745042</c:v>
                </c:pt>
                <c:pt idx="245">
                  <c:v>282.22637297025284</c:v>
                </c:pt>
                <c:pt idx="246">
                  <c:v>284.3108223120654</c:v>
                </c:pt>
                <c:pt idx="247">
                  <c:v>286.40052139782637</c:v>
                </c:pt>
                <c:pt idx="248">
                  <c:v>288.49544050629777</c:v>
                </c:pt>
                <c:pt idx="249">
                  <c:v>290.59554992056798</c:v>
                </c:pt>
                <c:pt idx="250">
                  <c:v>292.70081992855108</c:v>
                </c:pt>
                <c:pt idx="251">
                  <c:v>294.81121853091122</c:v>
                </c:pt>
                <c:pt idx="252">
                  <c:v>296.92670914982585</c:v>
                </c:pt>
                <c:pt idx="253">
                  <c:v>299.04725292562813</c:v>
                </c:pt>
                <c:pt idx="254">
                  <c:v>301.1728110126997</c:v>
                </c:pt>
                <c:pt idx="255">
                  <c:v>303.30334458014386</c:v>
                </c:pt>
                <c:pt idx="256">
                  <c:v>305.43881481245364</c:v>
                </c:pt>
                <c:pt idx="257">
                  <c:v>307.5791829101745</c:v>
                </c:pt>
                <c:pt idx="258">
                  <c:v>309.72441009056178</c:v>
                </c:pt>
                <c:pt idx="259">
                  <c:v>311.87445758823276</c:v>
                </c:pt>
                <c:pt idx="260">
                  <c:v>314.02928665581362</c:v>
                </c:pt>
                <c:pt idx="261">
                  <c:v>316.1888585645807</c:v>
                </c:pt>
                <c:pt idx="262">
                  <c:v>318.35313460509673</c:v>
                </c:pt>
                <c:pt idx="263">
                  <c:v>320.52207608784158</c:v>
                </c:pt>
                <c:pt idx="264">
                  <c:v>322.69564434383773</c:v>
                </c:pt>
                <c:pt idx="265">
                  <c:v>324.87380072527014</c:v>
                </c:pt>
                <c:pt idx="266">
                  <c:v>327.05650660610087</c:v>
                </c:pt>
                <c:pt idx="267">
                  <c:v>329.24372338267841</c:v>
                </c:pt>
                <c:pt idx="268">
                  <c:v>331.43541247434138</c:v>
                </c:pt>
                <c:pt idx="269">
                  <c:v>333.63153532401702</c:v>
                </c:pt>
                <c:pt idx="270">
                  <c:v>335.83205339881414</c:v>
                </c:pt>
                <c:pt idx="271">
                  <c:v>338.03692819061052</c:v>
                </c:pt>
                <c:pt idx="272">
                  <c:v>340.24612121663523</c:v>
                </c:pt>
                <c:pt idx="273">
                  <c:v>342.45959402004507</c:v>
                </c:pt>
                <c:pt idx="274">
                  <c:v>344.67730817049608</c:v>
                </c:pt>
                <c:pt idx="275">
                  <c:v>346.89922526470895</c:v>
                </c:pt>
                <c:pt idx="276">
                  <c:v>349.12530692702967</c:v>
                </c:pt>
                <c:pt idx="277">
                  <c:v>351.35551480998419</c:v>
                </c:pt>
                <c:pt idx="278">
                  <c:v>353.58981059482784</c:v>
                </c:pt>
                <c:pt idx="279">
                  <c:v>355.82815599208931</c:v>
                </c:pt>
                <c:pt idx="280">
                  <c:v>358.0705127421092</c:v>
                </c:pt>
                <c:pt idx="281">
                  <c:v>360.31684261557291</c:v>
                </c:pt>
                <c:pt idx="282">
                  <c:v>362.56710741403822</c:v>
                </c:pt>
                <c:pt idx="283">
                  <c:v>364.82126897045742</c:v>
                </c:pt>
                <c:pt idx="284">
                  <c:v>367.07928914969403</c:v>
                </c:pt>
                <c:pt idx="285">
                  <c:v>369.34112984903385</c:v>
                </c:pt>
                <c:pt idx="286">
                  <c:v>371.60675299869064</c:v>
                </c:pt>
                <c:pt idx="287">
                  <c:v>373.8761205623066</c:v>
                </c:pt>
                <c:pt idx="288">
                  <c:v>376.14919453744699</c:v>
                </c:pt>
                <c:pt idx="289">
                  <c:v>378.42593695608957</c:v>
                </c:pt>
                <c:pt idx="290">
                  <c:v>380.70630988510851</c:v>
                </c:pt>
                <c:pt idx="291">
                  <c:v>382.99027542675299</c:v>
                </c:pt>
                <c:pt idx="292">
                  <c:v>385.27779571912009</c:v>
                </c:pt>
                <c:pt idx="293">
                  <c:v>387.56883293662253</c:v>
                </c:pt>
                <c:pt idx="294">
                  <c:v>389.8633492904508</c:v>
                </c:pt>
                <c:pt idx="295">
                  <c:v>392.16130702903013</c:v>
                </c:pt>
                <c:pt idx="296">
                  <c:v>394.46266843847172</c:v>
                </c:pt>
                <c:pt idx="297">
                  <c:v>396.76739584301885</c:v>
                </c:pt>
                <c:pt idx="298">
                  <c:v>399.07542636391133</c:v>
                </c:pt>
                <c:pt idx="299">
                  <c:v>401.3866467005185</c:v>
                </c:pt>
                <c:pt idx="300">
                  <c:v>403.70091843431464</c:v>
                </c:pt>
                <c:pt idx="301">
                  <c:v>406.01810331214421</c:v>
                </c:pt>
                <c:pt idx="302">
                  <c:v>408.33806324974847</c:v>
                </c:pt>
                <c:pt idx="303">
                  <c:v>410.6606603352285</c:v>
                </c:pt>
                <c:pt idx="304">
                  <c:v>412.98575683244439</c:v>
                </c:pt>
                <c:pt idx="305">
                  <c:v>415.31321518435101</c:v>
                </c:pt>
                <c:pt idx="306">
                  <c:v>417.6428980162699</c:v>
                </c:pt>
                <c:pt idx="307">
                  <c:v>419.97466813909784</c:v>
                </c:pt>
                <c:pt idx="308">
                  <c:v>422.3083885524523</c:v>
                </c:pt>
                <c:pt idx="309">
                  <c:v>424.64392244775337</c:v>
                </c:pt>
                <c:pt idx="310">
                  <c:v>426.98113321124271</c:v>
                </c:pt>
                <c:pt idx="311">
                  <c:v>429.31988442693984</c:v>
                </c:pt>
                <c:pt idx="312">
                  <c:v>431.66003987953536</c:v>
                </c:pt>
                <c:pt idx="313">
                  <c:v>434.00146355722188</c:v>
                </c:pt>
                <c:pt idx="314">
                  <c:v>436.34401965446256</c:v>
                </c:pt>
                <c:pt idx="315">
                  <c:v>438.68757257469724</c:v>
                </c:pt>
                <c:pt idx="316">
                  <c:v>441.03198693298702</c:v>
                </c:pt>
                <c:pt idx="317">
                  <c:v>443.37712755859684</c:v>
                </c:pt>
                <c:pt idx="318">
                  <c:v>445.72285949751665</c:v>
                </c:pt>
                <c:pt idx="319">
                  <c:v>448.06904801492141</c:v>
                </c:pt>
                <c:pt idx="320">
                  <c:v>450.41555859756994</c:v>
                </c:pt>
                <c:pt idx="321">
                  <c:v>452.7622670037851</c:v>
                </c:pt>
                <c:pt idx="322">
                  <c:v>455.10906929779424</c:v>
                </c:pt>
                <c:pt idx="323">
                  <c:v>457.45587176938403</c:v>
                </c:pt>
                <c:pt idx="324">
                  <c:v>459.80258086848056</c:v>
                </c:pt>
                <c:pt idx="325">
                  <c:v>462.14910320607339</c:v>
                </c:pt>
                <c:pt idx="326">
                  <c:v>464.49534555511127</c:v>
                </c:pt>
                <c:pt idx="327">
                  <c:v>466.84121485136887</c:v>
                </c:pt>
                <c:pt idx="328">
                  <c:v>469.18661819428553</c:v>
                </c:pt>
                <c:pt idx="329">
                  <c:v>471.53146284777546</c:v>
                </c:pt>
                <c:pt idx="330">
                  <c:v>473.87565624100995</c:v>
                </c:pt>
                <c:pt idx="331">
                  <c:v>476.21910596917178</c:v>
                </c:pt>
                <c:pt idx="332">
                  <c:v>478.56171979418207</c:v>
                </c:pt>
                <c:pt idx="333">
                  <c:v>480.90340564539929</c:v>
                </c:pt>
                <c:pt idx="334">
                  <c:v>483.24407162029132</c:v>
                </c:pt>
                <c:pt idx="335">
                  <c:v>485.58362598508029</c:v>
                </c:pt>
                <c:pt idx="336">
                  <c:v>487.92197717536033</c:v>
                </c:pt>
                <c:pt idx="337">
                  <c:v>490.25903379668893</c:v>
                </c:pt>
                <c:pt idx="338">
                  <c:v>492.59470462515151</c:v>
                </c:pt>
                <c:pt idx="339">
                  <c:v>494.92889860789978</c:v>
                </c:pt>
                <c:pt idx="340">
                  <c:v>497.26152486366402</c:v>
                </c:pt>
                <c:pt idx="341">
                  <c:v>499.59249268323924</c:v>
                </c:pt>
                <c:pt idx="342">
                  <c:v>501.92171152994592</c:v>
                </c:pt>
                <c:pt idx="343">
                  <c:v>504.24909104006497</c:v>
                </c:pt>
                <c:pt idx="344">
                  <c:v>506.57454102324749</c:v>
                </c:pt>
                <c:pt idx="345">
                  <c:v>508.89797146289942</c:v>
                </c:pt>
                <c:pt idx="346">
                  <c:v>511.21929251654126</c:v>
                </c:pt>
                <c:pt idx="347">
                  <c:v>513.53841451614312</c:v>
                </c:pt>
                <c:pt idx="348">
                  <c:v>515.85524905241698</c:v>
                </c:pt>
                <c:pt idx="349">
                  <c:v>518.1697100568997</c:v>
                </c:pt>
                <c:pt idx="350">
                  <c:v>520.4817127137527</c:v>
                </c:pt>
                <c:pt idx="351">
                  <c:v>522.79117237369076</c:v>
                </c:pt>
                <c:pt idx="352">
                  <c:v>525.09800455413438</c:v>
                </c:pt>
                <c:pt idx="353">
                  <c:v>527.40212493934087</c:v>
                </c:pt>
                <c:pt idx="354">
                  <c:v>529.7034493805146</c:v>
                </c:pt>
                <c:pt idx="355">
                  <c:v>532.00189389589696</c:v>
                </c:pt>
                <c:pt idx="356">
                  <c:v>534.29737467083555</c:v>
                </c:pt>
                <c:pt idx="357">
                  <c:v>536.58980805783335</c:v>
                </c:pt>
                <c:pt idx="358">
                  <c:v>538.87911057657732</c:v>
                </c:pt>
                <c:pt idx="359">
                  <c:v>541.16519891394796</c:v>
                </c:pt>
                <c:pt idx="360">
                  <c:v>543.44801246697205</c:v>
                </c:pt>
                <c:pt idx="361">
                  <c:v>545.72753583676149</c:v>
                </c:pt>
                <c:pt idx="362">
                  <c:v>548.00377618798007</c:v>
                </c:pt>
                <c:pt idx="363">
                  <c:v>550.27674065739689</c:v>
                </c:pt>
                <c:pt idx="364">
                  <c:v>552.5464363540309</c:v>
                </c:pt>
                <c:pt idx="365">
                  <c:v>554.81287035929472</c:v>
                </c:pt>
                <c:pt idx="366">
                  <c:v>557.07604972713705</c:v>
                </c:pt>
                <c:pt idx="367">
                  <c:v>559.33598148418446</c:v>
                </c:pt>
                <c:pt idx="368">
                  <c:v>561.59267262988249</c:v>
                </c:pt>
                <c:pt idx="369">
                  <c:v>563.84613013663511</c:v>
                </c:pt>
                <c:pt idx="370">
                  <c:v>566.09636094994414</c:v>
                </c:pt>
                <c:pt idx="371">
                  <c:v>568.34337198854701</c:v>
                </c:pt>
                <c:pt idx="372">
                  <c:v>570.58717014455419</c:v>
                </c:pt>
                <c:pt idx="373">
                  <c:v>572.82776228358534</c:v>
                </c:pt>
                <c:pt idx="374">
                  <c:v>575.06515524490487</c:v>
                </c:pt>
                <c:pt idx="375">
                  <c:v>577.29935584155646</c:v>
                </c:pt>
                <c:pt idx="376">
                  <c:v>579.53037086049665</c:v>
                </c:pt>
                <c:pt idx="377">
                  <c:v>581.75820706272771</c:v>
                </c:pt>
                <c:pt idx="378">
                  <c:v>583.98287118342989</c:v>
                </c:pt>
                <c:pt idx="379">
                  <c:v>586.20436993209216</c:v>
                </c:pt>
                <c:pt idx="380">
                  <c:v>588.42270999264269</c:v>
                </c:pt>
                <c:pt idx="381">
                  <c:v>590.63789802357837</c:v>
                </c:pt>
                <c:pt idx="382">
                  <c:v>592.84994065809326</c:v>
                </c:pt>
                <c:pt idx="383">
                  <c:v>595.0588445042066</c:v>
                </c:pt>
                <c:pt idx="384">
                  <c:v>597.26461614488971</c:v>
                </c:pt>
                <c:pt idx="385">
                  <c:v>599.46726213819215</c:v>
                </c:pt>
                <c:pt idx="386">
                  <c:v>601.66678901736714</c:v>
                </c:pt>
                <c:pt idx="387">
                  <c:v>603.86320329099613</c:v>
                </c:pt>
                <c:pt idx="388">
                  <c:v>606.05651144311264</c:v>
                </c:pt>
                <c:pt idx="389">
                  <c:v>608.24671993332538</c:v>
                </c:pt>
                <c:pt idx="390">
                  <c:v>610.43383519694021</c:v>
                </c:pt>
                <c:pt idx="391">
                  <c:v>612.6178636450818</c:v>
                </c:pt>
                <c:pt idx="392">
                  <c:v>614.79881166481437</c:v>
                </c:pt>
                <c:pt idx="393">
                  <c:v>616.97668561926162</c:v>
                </c:pt>
                <c:pt idx="394">
                  <c:v>619.15149184772565</c:v>
                </c:pt>
                <c:pt idx="395">
                  <c:v>621.32323666580578</c:v>
                </c:pt>
                <c:pt idx="396">
                  <c:v>623.49192636551595</c:v>
                </c:pt>
                <c:pt idx="397">
                  <c:v>625.65756721540185</c:v>
                </c:pt>
                <c:pt idx="398">
                  <c:v>627.82016546065722</c:v>
                </c:pt>
                <c:pt idx="399">
                  <c:v>629.9797273232391</c:v>
                </c:pt>
                <c:pt idx="400">
                  <c:v>632.13625900198269</c:v>
                </c:pt>
                <c:pt idx="401">
                  <c:v>653.53539404675041</c:v>
                </c:pt>
                <c:pt idx="402">
                  <c:v>674.63548225065961</c:v>
                </c:pt>
                <c:pt idx="403">
                  <c:v>695.4425041369102</c:v>
                </c:pt>
                <c:pt idx="404">
                  <c:v>715.96222361986725</c:v>
                </c:pt>
                <c:pt idx="405">
                  <c:v>736.20019831701836</c:v>
                </c:pt>
                <c:pt idx="406">
                  <c:v>756.16178924676285</c:v>
                </c:pt>
                <c:pt idx="407">
                  <c:v>775.85216995563576</c:v>
                </c:pt>
                <c:pt idx="408">
                  <c:v>795.27633511498607</c:v>
                </c:pt>
                <c:pt idx="409">
                  <c:v>814.43910862387588</c:v>
                </c:pt>
                <c:pt idx="410">
                  <c:v>833.3451512520146</c:v>
                </c:pt>
                <c:pt idx="411">
                  <c:v>851.99896785385999</c:v>
                </c:pt>
                <c:pt idx="412">
                  <c:v>870.40491418257523</c:v>
                </c:pt>
                <c:pt idx="413">
                  <c:v>888.56720333030694</c:v>
                </c:pt>
                <c:pt idx="414">
                  <c:v>906.48991181921906</c:v>
                </c:pt>
                <c:pt idx="415">
                  <c:v>924.17698536586602</c:v>
                </c:pt>
                <c:pt idx="416">
                  <c:v>941.63224433979383</c:v>
                </c:pt>
                <c:pt idx="417">
                  <c:v>958.85938893571051</c:v>
                </c:pt>
                <c:pt idx="418">
                  <c:v>975.86200407714568</c:v>
                </c:pt>
                <c:pt idx="419">
                  <c:v>992.64356406822026</c:v>
                </c:pt>
                <c:pt idx="420">
                  <c:v>1009.2074370089531</c:v>
                </c:pt>
                <c:pt idx="421">
                  <c:v>1025.556888988435</c:v>
                </c:pt>
                <c:pt idx="422">
                  <c:v>1041.6950880691913</c:v>
                </c:pt>
                <c:pt idx="423">
                  <c:v>1057.6251080751292</c:v>
                </c:pt>
                <c:pt idx="424">
                  <c:v>1073.3499321946092</c:v>
                </c:pt>
                <c:pt idx="425">
                  <c:v>1088.8724564093955</c:v>
                </c:pt>
                <c:pt idx="426">
                  <c:v>1104.1954927595093</c:v>
                </c:pt>
                <c:pt idx="427">
                  <c:v>1119.3217724533451</c:v>
                </c:pt>
                <c:pt idx="428">
                  <c:v>1134.2539488317827</c:v>
                </c:pt>
                <c:pt idx="429">
                  <c:v>1148.9946001944597</c:v>
                </c:pt>
                <c:pt idx="430">
                  <c:v>1163.5462324958387</c:v>
                </c:pt>
                <c:pt idx="431">
                  <c:v>1177.9112819182071</c:v>
                </c:pt>
                <c:pt idx="432">
                  <c:v>1192.0921173282998</c:v>
                </c:pt>
                <c:pt idx="433">
                  <c:v>1206.0910426238049</c:v>
                </c:pt>
                <c:pt idx="434">
                  <c:v>1219.9102989756268</c:v>
                </c:pt>
                <c:pt idx="435">
                  <c:v>1233.5520669714122</c:v>
                </c:pt>
                <c:pt idx="436">
                  <c:v>1247.0184686655082</c:v>
                </c:pt>
                <c:pt idx="437">
                  <c:v>1260.311569540208</c:v>
                </c:pt>
                <c:pt idx="438">
                  <c:v>1273.4333803828417</c:v>
                </c:pt>
                <c:pt idx="439">
                  <c:v>1286.3858590830041</c:v>
                </c:pt>
                <c:pt idx="440">
                  <c:v>1299.1709123539486</c:v>
                </c:pt>
                <c:pt idx="441">
                  <c:v>1311.7903973819464</c:v>
                </c:pt>
                <c:pt idx="442">
                  <c:v>1324.2461234071841</c:v>
                </c:pt>
                <c:pt idx="443">
                  <c:v>1336.5398532395679</c:v>
                </c:pt>
                <c:pt idx="444">
                  <c:v>1348.6733047126083</c:v>
                </c:pt>
                <c:pt idx="445">
                  <c:v>1360.64815207838</c:v>
                </c:pt>
                <c:pt idx="446">
                  <c:v>1372.4660273463821</c:v>
                </c:pt>
                <c:pt idx="447">
                  <c:v>1384.1285215689654</c:v>
                </c:pt>
                <c:pt idx="448">
                  <c:v>1395.6371860758452</c:v>
                </c:pt>
                <c:pt idx="449">
                  <c:v>1406.9935336600806</c:v>
                </c:pt>
                <c:pt idx="450">
                  <c:v>1418.1990397177699</c:v>
                </c:pt>
                <c:pt idx="451">
                  <c:v>1429.2551433435904</c:v>
                </c:pt>
                <c:pt idx="452">
                  <c:v>1440.1632483841963</c:v>
                </c:pt>
                <c:pt idx="453">
                  <c:v>1450.9247244513811</c:v>
                </c:pt>
                <c:pt idx="454">
                  <c:v>1461.5409078968084</c:v>
                </c:pt>
                <c:pt idx="455">
                  <c:v>1472.0131027500249</c:v>
                </c:pt>
                <c:pt idx="456">
                  <c:v>1482.3425816213714</c:v>
                </c:pt>
                <c:pt idx="457">
                  <c:v>1492.5305865713342</c:v>
                </c:pt>
                <c:pt idx="458">
                  <c:v>1502.5783299477914</c:v>
                </c:pt>
                <c:pt idx="459">
                  <c:v>1512.4869951925396</c:v>
                </c:pt>
                <c:pt idx="460">
                  <c:v>1522.257737618414</c:v>
                </c:pt>
                <c:pt idx="461">
                  <c:v>1531.8916851582489</c:v>
                </c:pt>
                <c:pt idx="462">
                  <c:v>1541.3899390868651</c:v>
                </c:pt>
                <c:pt idx="463">
                  <c:v>1550.7535747172094</c:v>
                </c:pt>
                <c:pt idx="464">
                  <c:v>1559.9836420717181</c:v>
                </c:pt>
                <c:pt idx="465">
                  <c:v>1569.0811665299216</c:v>
                </c:pt>
                <c:pt idx="466">
                  <c:v>1578.047149453261</c:v>
                </c:pt>
                <c:pt idx="467">
                  <c:v>1586.8825687880378</c:v>
                </c:pt>
                <c:pt idx="468">
                  <c:v>1595.5883796473747</c:v>
                </c:pt>
                <c:pt idx="469">
                  <c:v>1604.1655148730251</c:v>
                </c:pt>
                <c:pt idx="470">
                  <c:v>1612.6148855778265</c:v>
                </c:pt>
                <c:pt idx="471">
                  <c:v>1620.9373816695575</c:v>
                </c:pt>
                <c:pt idx="472">
                  <c:v>1629.1338723569229</c:v>
                </c:pt>
                <c:pt idx="473">
                  <c:v>1637.2052066383576</c:v>
                </c:pt>
                <c:pt idx="474">
                  <c:v>1645.1522137743054</c:v>
                </c:pt>
                <c:pt idx="475">
                  <c:v>1652.9757037436036</c:v>
                </c:pt>
                <c:pt idx="476">
                  <c:v>1660.6764676845719</c:v>
                </c:pt>
                <c:pt idx="477">
                  <c:v>1668.2552783213789</c:v>
                </c:pt>
                <c:pt idx="478">
                  <c:v>1675.7128903762325</c:v>
                </c:pt>
                <c:pt idx="479">
                  <c:v>1683.0500409679162</c:v>
                </c:pt>
                <c:pt idx="480">
                  <c:v>1690.2674499971729</c:v>
                </c:pt>
                <c:pt idx="481">
                  <c:v>1697.3658205194104</c:v>
                </c:pt>
                <c:pt idx="482">
                  <c:v>1704.3458391051872</c:v>
                </c:pt>
                <c:pt idx="483">
                  <c:v>1711.2081761889158</c:v>
                </c:pt>
                <c:pt idx="484">
                  <c:v>1717.9534864061973</c:v>
                </c:pt>
                <c:pt idx="485">
                  <c:v>1724.5824089201926</c:v>
                </c:pt>
                <c:pt idx="486">
                  <c:v>1731.0955677374084</c:v>
                </c:pt>
                <c:pt idx="487">
                  <c:v>1737.4935720132667</c:v>
                </c:pt>
                <c:pt idx="488">
                  <c:v>1743.7770163478096</c:v>
                </c:pt>
                <c:pt idx="489">
                  <c:v>1749.9464810718737</c:v>
                </c:pt>
                <c:pt idx="490">
                  <c:v>1756.0025325240588</c:v>
                </c:pt>
                <c:pt idx="491">
                  <c:v>1761.9457233188</c:v>
                </c:pt>
                <c:pt idx="492">
                  <c:v>1767.7765926058394</c:v>
                </c:pt>
                <c:pt idx="493">
                  <c:v>1773.4956663213836</c:v>
                </c:pt>
                <c:pt idx="494">
                  <c:v>1779.1034574312209</c:v>
                </c:pt>
                <c:pt idx="495">
                  <c:v>1784.6004661660593</c:v>
                </c:pt>
                <c:pt idx="496">
                  <c:v>1789.9871802493417</c:v>
                </c:pt>
                <c:pt idx="497">
                  <c:v>1795.2640751177805</c:v>
                </c:pt>
                <c:pt idx="498">
                  <c:v>1800.4316141348445</c:v>
                </c:pt>
                <c:pt idx="499">
                  <c:v>1805.4902487974282</c:v>
                </c:pt>
                <c:pt idx="500">
                  <c:v>1810.4404189359184</c:v>
                </c:pt>
                <c:pt idx="501">
                  <c:v>1815.2825529078721</c:v>
                </c:pt>
                <c:pt idx="502">
                  <c:v>1820.0170677855076</c:v>
                </c:pt>
                <c:pt idx="503">
                  <c:v>1824.6443695372097</c:v>
                </c:pt>
                <c:pt idx="504">
                  <c:v>1829.1648532032395</c:v>
                </c:pt>
                <c:pt idx="505">
                  <c:v>1833.5789030658382</c:v>
                </c:pt>
                <c:pt idx="506">
                  <c:v>1837.8868928139068</c:v>
                </c:pt>
                <c:pt idx="507">
                  <c:v>1842.0891857024446</c:v>
                </c:pt>
                <c:pt idx="508">
                  <c:v>1846.1861347069193</c:v>
                </c:pt>
                <c:pt idx="509">
                  <c:v>1850.1780826727481</c:v>
                </c:pt>
                <c:pt idx="510">
                  <c:v>1854.0653624600616</c:v>
                </c:pt>
                <c:pt idx="511">
                  <c:v>1857.8482970839252</c:v>
                </c:pt>
                <c:pt idx="512">
                  <c:v>1861.5271998501953</c:v>
                </c:pt>
                <c:pt idx="513">
                  <c:v>1865.1023744871854</c:v>
                </c:pt>
                <c:pt idx="514">
                  <c:v>1868.5741152733283</c:v>
                </c:pt>
                <c:pt idx="515">
                  <c:v>1871.942707161021</c:v>
                </c:pt>
                <c:pt idx="516">
                  <c:v>1875.2084258968514</c:v>
                </c:pt>
                <c:pt idx="517">
                  <c:v>1878.3715381384143</c:v>
                </c:pt>
                <c:pt idx="518">
                  <c:v>1881.4323015679408</c:v>
                </c:pt>
                <c:pt idx="519">
                  <c:v>1884.3909650029818</c:v>
                </c:pt>
                <c:pt idx="520">
                  <c:v>1887.2477685044103</c:v>
                </c:pt>
                <c:pt idx="521">
                  <c:v>1890.0029434820349</c:v>
                </c:pt>
                <c:pt idx="522">
                  <c:v>1892.6567127981516</c:v>
                </c:pt>
                <c:pt idx="523">
                  <c:v>1895.2092908694053</c:v>
                </c:pt>
                <c:pt idx="524">
                  <c:v>1897.6608837673834</c:v>
                </c:pt>
                <c:pt idx="525">
                  <c:v>1900.011689318432</c:v>
                </c:pt>
                <c:pt idx="526">
                  <c:v>1902.2618972032606</c:v>
                </c:pt>
                <c:pt idx="527">
                  <c:v>1904.4116890570019</c:v>
                </c:pt>
                <c:pt idx="528">
                  <c:v>1906.4612385705093</c:v>
                </c:pt>
                <c:pt idx="529">
                  <c:v>1908.4107115938189</c:v>
                </c:pt>
                <c:pt idx="530">
                  <c:v>1910.260266242879</c:v>
                </c:pt>
                <c:pt idx="531">
                  <c:v>1912.0100530108571</c:v>
                </c:pt>
                <c:pt idx="532">
                  <c:v>1913.6602148855902</c:v>
                </c:pt>
                <c:pt idx="533">
                  <c:v>1915.2108874750452</c:v>
                </c:pt>
                <c:pt idx="534">
                  <c:v>1916.6621991430081</c:v>
                </c:pt>
                <c:pt idx="535">
                  <c:v>1918.0142711576364</c:v>
                </c:pt>
                <c:pt idx="536">
                  <c:v>1919.2672178559733</c:v>
                </c:pt>
                <c:pt idx="537">
                  <c:v>1920.421146828048</c:v>
                </c:pt>
                <c:pt idx="538">
                  <c:v>1921.47615912473</c:v>
                </c:pt>
                <c:pt idx="539">
                  <c:v>1922.4323494940593</c:v>
                </c:pt>
                <c:pt idx="540">
                  <c:v>1923.2898066512682</c:v>
                </c:pt>
                <c:pt idx="541">
                  <c:v>1924.0486135880608</c:v>
                </c:pt>
                <c:pt idx="542">
                  <c:v>1924.7088479268193</c:v>
                </c:pt>
                <c:pt idx="543">
                  <c:v>1925.2705823251067</c:v>
                </c:pt>
                <c:pt idx="544">
                  <c:v>1925.7338849349876</c:v>
                </c:pt>
                <c:pt idx="545">
                  <c:v>1926.098819920139</c:v>
                </c:pt>
                <c:pt idx="546">
                  <c:v>1926.3654480313908</c:v>
                </c:pt>
                <c:pt idx="547">
                  <c:v>1926.5338272382439</c:v>
                </c:pt>
                <c:pt idx="548">
                  <c:v>1926.6040134102664</c:v>
                </c:pt>
                <c:pt idx="549">
                  <c:v>1926.5760610384211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BC-E84B-8A2E-77A3E8DE6A60}"/>
            </c:ext>
          </c:extLst>
        </c:ser>
        <c:ser>
          <c:idx val="6"/>
          <c:order val="6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Trajecto!$B$157</c:f>
              <c:numCache>
                <c:formatCode>General</c:formatCode>
                <c:ptCount val="1"/>
                <c:pt idx="0">
                  <c:v>4.75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963.22501199144335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BC-E84B-8A2E-77A3E8DE6A60}"/>
            </c:ext>
          </c:extLst>
        </c:ser>
        <c:ser>
          <c:idx val="7"/>
          <c:order val="7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Trajecto!$B$158</c:f>
              <c:numCache>
                <c:formatCode>General</c:formatCode>
                <c:ptCount val="1"/>
                <c:pt idx="0">
                  <c:v>30.100000000000115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963.30200670513318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BC-E84B-8A2E-77A3E8DE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430064"/>
        <c:axId val="1"/>
      </c:scatterChart>
      <c:valAx>
        <c:axId val="1806430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Trajecto!$B$112</c:f>
              <c:strCache>
                <c:ptCount val="1"/>
                <c:pt idx="0">
                  <c:v>Temps [s]</c:v>
                </c:pt>
              </c:strCache>
            </c:strRef>
          </c:tx>
          <c:layout>
            <c:manualLayout>
              <c:xMode val="edge"/>
              <c:yMode val="edge"/>
              <c:x val="0.60555551848391831"/>
              <c:y val="0.85139305699995049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9.0000333644735087E-2"/>
              <c:y val="6.8111391736410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430064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Forces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4183243282920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Courbes!$B$134</c:f>
              <c:strCache>
                <c:ptCount val="1"/>
                <c:pt idx="0">
                  <c:v>Poussée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Calculs!$Q$4:$Q$1004</c:f>
              <c:numCache>
                <c:formatCode>0.00</c:formatCode>
                <c:ptCount val="1001"/>
                <c:pt idx="0">
                  <c:v>0</c:v>
                </c:pt>
                <c:pt idx="1">
                  <c:v>89.3</c:v>
                </c:pt>
                <c:pt idx="2">
                  <c:v>267.89999999999998</c:v>
                </c:pt>
                <c:pt idx="3">
                  <c:v>446.49999999999994</c:v>
                </c:pt>
                <c:pt idx="4">
                  <c:v>625.1</c:v>
                </c:pt>
                <c:pt idx="5">
                  <c:v>803.7</c:v>
                </c:pt>
                <c:pt idx="6">
                  <c:v>891.94444444444446</c:v>
                </c:pt>
                <c:pt idx="7">
                  <c:v>889.83333333333337</c:v>
                </c:pt>
                <c:pt idx="8">
                  <c:v>887.72222222222217</c:v>
                </c:pt>
                <c:pt idx="9">
                  <c:v>885.61111111111109</c:v>
                </c:pt>
                <c:pt idx="10">
                  <c:v>883.5</c:v>
                </c:pt>
                <c:pt idx="11">
                  <c:v>881.38888888888891</c:v>
                </c:pt>
                <c:pt idx="12">
                  <c:v>879.27777777777783</c:v>
                </c:pt>
                <c:pt idx="13">
                  <c:v>877.16666666666663</c:v>
                </c:pt>
                <c:pt idx="14">
                  <c:v>875.05555555555554</c:v>
                </c:pt>
                <c:pt idx="15">
                  <c:v>872.94444444444446</c:v>
                </c:pt>
                <c:pt idx="16">
                  <c:v>870.83333333333337</c:v>
                </c:pt>
                <c:pt idx="17">
                  <c:v>868.72222222222217</c:v>
                </c:pt>
                <c:pt idx="18">
                  <c:v>866.61111111111109</c:v>
                </c:pt>
                <c:pt idx="19">
                  <c:v>864.5</c:v>
                </c:pt>
                <c:pt idx="20">
                  <c:v>862.38888888888891</c:v>
                </c:pt>
                <c:pt idx="21">
                  <c:v>860.27777777777783</c:v>
                </c:pt>
                <c:pt idx="22">
                  <c:v>858.16666666666663</c:v>
                </c:pt>
                <c:pt idx="23">
                  <c:v>856.05555555555554</c:v>
                </c:pt>
                <c:pt idx="24">
                  <c:v>853.94444444444446</c:v>
                </c:pt>
                <c:pt idx="25">
                  <c:v>851.83333333333337</c:v>
                </c:pt>
                <c:pt idx="26">
                  <c:v>849.72222222222217</c:v>
                </c:pt>
                <c:pt idx="27">
                  <c:v>847.61111111111109</c:v>
                </c:pt>
                <c:pt idx="28">
                  <c:v>845.5</c:v>
                </c:pt>
                <c:pt idx="29">
                  <c:v>843.38888888888891</c:v>
                </c:pt>
                <c:pt idx="30">
                  <c:v>841.27777777777771</c:v>
                </c:pt>
                <c:pt idx="31">
                  <c:v>839.16666666666663</c:v>
                </c:pt>
                <c:pt idx="32">
                  <c:v>837.05555555555554</c:v>
                </c:pt>
                <c:pt idx="33">
                  <c:v>834.94444444444446</c:v>
                </c:pt>
                <c:pt idx="34">
                  <c:v>832.83333333333326</c:v>
                </c:pt>
                <c:pt idx="35">
                  <c:v>830.72222222222217</c:v>
                </c:pt>
                <c:pt idx="36">
                  <c:v>828.61111111111109</c:v>
                </c:pt>
                <c:pt idx="37">
                  <c:v>826.5</c:v>
                </c:pt>
                <c:pt idx="38">
                  <c:v>824.38888888888891</c:v>
                </c:pt>
                <c:pt idx="39">
                  <c:v>822.27777777777771</c:v>
                </c:pt>
                <c:pt idx="40">
                  <c:v>820.16666666666663</c:v>
                </c:pt>
                <c:pt idx="41">
                  <c:v>818.05555555555554</c:v>
                </c:pt>
                <c:pt idx="42">
                  <c:v>815.94444444444434</c:v>
                </c:pt>
                <c:pt idx="43">
                  <c:v>813.83333333333326</c:v>
                </c:pt>
                <c:pt idx="44">
                  <c:v>811.72222222222217</c:v>
                </c:pt>
                <c:pt idx="45">
                  <c:v>809.61111111111109</c:v>
                </c:pt>
                <c:pt idx="46">
                  <c:v>807.5</c:v>
                </c:pt>
                <c:pt idx="47">
                  <c:v>805.3888888888888</c:v>
                </c:pt>
                <c:pt idx="48">
                  <c:v>803.27777777777771</c:v>
                </c:pt>
                <c:pt idx="49">
                  <c:v>801.16666666666663</c:v>
                </c:pt>
                <c:pt idx="50">
                  <c:v>799.05555555555554</c:v>
                </c:pt>
                <c:pt idx="51">
                  <c:v>797.41</c:v>
                </c:pt>
                <c:pt idx="52">
                  <c:v>796.23</c:v>
                </c:pt>
                <c:pt idx="53">
                  <c:v>795.05</c:v>
                </c:pt>
                <c:pt idx="54">
                  <c:v>793.87</c:v>
                </c:pt>
                <c:pt idx="55">
                  <c:v>792.68999999999994</c:v>
                </c:pt>
                <c:pt idx="56">
                  <c:v>791.51</c:v>
                </c:pt>
                <c:pt idx="57">
                  <c:v>790.32999999999993</c:v>
                </c:pt>
                <c:pt idx="58">
                  <c:v>789.15</c:v>
                </c:pt>
                <c:pt idx="59">
                  <c:v>787.96999999999991</c:v>
                </c:pt>
                <c:pt idx="60">
                  <c:v>786.79</c:v>
                </c:pt>
                <c:pt idx="61">
                  <c:v>785.61</c:v>
                </c:pt>
                <c:pt idx="62">
                  <c:v>784.43</c:v>
                </c:pt>
                <c:pt idx="63">
                  <c:v>783.25</c:v>
                </c:pt>
                <c:pt idx="64">
                  <c:v>782.06999999999994</c:v>
                </c:pt>
                <c:pt idx="65">
                  <c:v>780.89</c:v>
                </c:pt>
                <c:pt idx="66">
                  <c:v>779.70999999999992</c:v>
                </c:pt>
                <c:pt idx="67">
                  <c:v>778.53</c:v>
                </c:pt>
                <c:pt idx="68">
                  <c:v>777.34999999999991</c:v>
                </c:pt>
                <c:pt idx="69">
                  <c:v>776.17</c:v>
                </c:pt>
                <c:pt idx="70">
                  <c:v>774.99</c:v>
                </c:pt>
                <c:pt idx="71">
                  <c:v>773.81</c:v>
                </c:pt>
                <c:pt idx="72">
                  <c:v>772.63</c:v>
                </c:pt>
                <c:pt idx="73">
                  <c:v>771.44999999999993</c:v>
                </c:pt>
                <c:pt idx="74">
                  <c:v>770.27</c:v>
                </c:pt>
                <c:pt idx="75">
                  <c:v>769.08999999999992</c:v>
                </c:pt>
                <c:pt idx="76">
                  <c:v>767.91</c:v>
                </c:pt>
                <c:pt idx="77">
                  <c:v>766.7299999999999</c:v>
                </c:pt>
                <c:pt idx="78">
                  <c:v>765.55</c:v>
                </c:pt>
                <c:pt idx="79">
                  <c:v>764.36999999999989</c:v>
                </c:pt>
                <c:pt idx="80">
                  <c:v>763.18999999999994</c:v>
                </c:pt>
                <c:pt idx="81">
                  <c:v>762.01</c:v>
                </c:pt>
                <c:pt idx="82">
                  <c:v>760.82999999999993</c:v>
                </c:pt>
                <c:pt idx="83">
                  <c:v>759.65</c:v>
                </c:pt>
                <c:pt idx="84">
                  <c:v>758.46999999999991</c:v>
                </c:pt>
                <c:pt idx="85">
                  <c:v>757.29</c:v>
                </c:pt>
                <c:pt idx="86">
                  <c:v>756.1099999999999</c:v>
                </c:pt>
                <c:pt idx="87">
                  <c:v>754.93</c:v>
                </c:pt>
                <c:pt idx="88">
                  <c:v>753.74999999999989</c:v>
                </c:pt>
                <c:pt idx="89">
                  <c:v>752.56999999999994</c:v>
                </c:pt>
                <c:pt idx="90">
                  <c:v>751.38999999999987</c:v>
                </c:pt>
                <c:pt idx="91">
                  <c:v>750.20999999999992</c:v>
                </c:pt>
                <c:pt idx="92">
                  <c:v>749.03</c:v>
                </c:pt>
                <c:pt idx="93">
                  <c:v>747.84999999999991</c:v>
                </c:pt>
                <c:pt idx="94">
                  <c:v>746.67</c:v>
                </c:pt>
                <c:pt idx="95">
                  <c:v>745.4899999999999</c:v>
                </c:pt>
                <c:pt idx="96">
                  <c:v>744.31</c:v>
                </c:pt>
                <c:pt idx="97">
                  <c:v>743.12999999999988</c:v>
                </c:pt>
                <c:pt idx="98">
                  <c:v>741.94999999999993</c:v>
                </c:pt>
                <c:pt idx="99">
                  <c:v>740.77</c:v>
                </c:pt>
                <c:pt idx="100">
                  <c:v>739.58999999999992</c:v>
                </c:pt>
                <c:pt idx="101">
                  <c:v>738.19999999999982</c:v>
                </c:pt>
                <c:pt idx="102">
                  <c:v>736.59999999999991</c:v>
                </c:pt>
                <c:pt idx="103">
                  <c:v>734.99999999999989</c:v>
                </c:pt>
                <c:pt idx="104">
                  <c:v>733.39999999999986</c:v>
                </c:pt>
                <c:pt idx="105">
                  <c:v>731.79999999999984</c:v>
                </c:pt>
                <c:pt idx="106">
                  <c:v>730.19999999999982</c:v>
                </c:pt>
                <c:pt idx="107">
                  <c:v>728.59999999999991</c:v>
                </c:pt>
                <c:pt idx="108">
                  <c:v>726.99999999999989</c:v>
                </c:pt>
                <c:pt idx="109">
                  <c:v>725.39999999999986</c:v>
                </c:pt>
                <c:pt idx="110">
                  <c:v>723.79999999999984</c:v>
                </c:pt>
                <c:pt idx="111">
                  <c:v>722.19999999999982</c:v>
                </c:pt>
                <c:pt idx="112">
                  <c:v>720.59999999999991</c:v>
                </c:pt>
                <c:pt idx="113">
                  <c:v>718.99999999999989</c:v>
                </c:pt>
                <c:pt idx="114">
                  <c:v>717.39999999999986</c:v>
                </c:pt>
                <c:pt idx="115">
                  <c:v>715.79999999999984</c:v>
                </c:pt>
                <c:pt idx="116">
                  <c:v>714.19999999999982</c:v>
                </c:pt>
                <c:pt idx="117">
                  <c:v>712.59999999999991</c:v>
                </c:pt>
                <c:pt idx="118">
                  <c:v>710.99999999999989</c:v>
                </c:pt>
                <c:pt idx="119">
                  <c:v>709.39999999999986</c:v>
                </c:pt>
                <c:pt idx="120">
                  <c:v>707.79999999999984</c:v>
                </c:pt>
                <c:pt idx="121">
                  <c:v>706.19999999999982</c:v>
                </c:pt>
                <c:pt idx="122">
                  <c:v>704.5999999999998</c:v>
                </c:pt>
                <c:pt idx="123">
                  <c:v>702.99999999999989</c:v>
                </c:pt>
                <c:pt idx="124">
                  <c:v>701.39999999999986</c:v>
                </c:pt>
                <c:pt idx="125">
                  <c:v>699.79999999999984</c:v>
                </c:pt>
                <c:pt idx="126">
                  <c:v>698.19999999999982</c:v>
                </c:pt>
                <c:pt idx="127">
                  <c:v>696.5999999999998</c:v>
                </c:pt>
                <c:pt idx="128">
                  <c:v>694.99999999999989</c:v>
                </c:pt>
                <c:pt idx="129">
                  <c:v>693.39999999999986</c:v>
                </c:pt>
                <c:pt idx="130">
                  <c:v>691.79999999999984</c:v>
                </c:pt>
                <c:pt idx="131">
                  <c:v>690.19999999999982</c:v>
                </c:pt>
                <c:pt idx="132">
                  <c:v>688.5999999999998</c:v>
                </c:pt>
                <c:pt idx="133">
                  <c:v>686.99999999999977</c:v>
                </c:pt>
                <c:pt idx="134">
                  <c:v>685.39999999999986</c:v>
                </c:pt>
                <c:pt idx="135">
                  <c:v>683.79999999999984</c:v>
                </c:pt>
                <c:pt idx="136">
                  <c:v>682.19999999999982</c:v>
                </c:pt>
                <c:pt idx="137">
                  <c:v>680.5999999999998</c:v>
                </c:pt>
                <c:pt idx="138">
                  <c:v>678.99999999999977</c:v>
                </c:pt>
                <c:pt idx="139">
                  <c:v>677.39999999999986</c:v>
                </c:pt>
                <c:pt idx="140">
                  <c:v>675.79999999999984</c:v>
                </c:pt>
                <c:pt idx="141">
                  <c:v>674.19999999999982</c:v>
                </c:pt>
                <c:pt idx="142">
                  <c:v>672.5999999999998</c:v>
                </c:pt>
                <c:pt idx="143">
                  <c:v>670.99999999999977</c:v>
                </c:pt>
                <c:pt idx="144">
                  <c:v>669.39999999999986</c:v>
                </c:pt>
                <c:pt idx="145">
                  <c:v>667.79999999999984</c:v>
                </c:pt>
                <c:pt idx="146">
                  <c:v>666.19999999999982</c:v>
                </c:pt>
                <c:pt idx="147">
                  <c:v>664.5999999999998</c:v>
                </c:pt>
                <c:pt idx="148">
                  <c:v>662.99999999999977</c:v>
                </c:pt>
                <c:pt idx="149">
                  <c:v>661.39999999999986</c:v>
                </c:pt>
                <c:pt idx="150">
                  <c:v>659.79999999999984</c:v>
                </c:pt>
                <c:pt idx="151">
                  <c:v>658.26999999999987</c:v>
                </c:pt>
                <c:pt idx="152">
                  <c:v>656.80999999999983</c:v>
                </c:pt>
                <c:pt idx="153">
                  <c:v>655.3499999999998</c:v>
                </c:pt>
                <c:pt idx="154">
                  <c:v>653.88999999999987</c:v>
                </c:pt>
                <c:pt idx="155">
                  <c:v>652.42999999999984</c:v>
                </c:pt>
                <c:pt idx="156">
                  <c:v>650.9699999999998</c:v>
                </c:pt>
                <c:pt idx="157">
                  <c:v>649.50999999999976</c:v>
                </c:pt>
                <c:pt idx="158">
                  <c:v>648.04999999999984</c:v>
                </c:pt>
                <c:pt idx="159">
                  <c:v>646.5899999999998</c:v>
                </c:pt>
                <c:pt idx="160">
                  <c:v>645.12999999999977</c:v>
                </c:pt>
                <c:pt idx="161">
                  <c:v>643.66999999999985</c:v>
                </c:pt>
                <c:pt idx="162">
                  <c:v>642.20999999999981</c:v>
                </c:pt>
                <c:pt idx="163">
                  <c:v>640.74999999999977</c:v>
                </c:pt>
                <c:pt idx="164">
                  <c:v>639.28999999999985</c:v>
                </c:pt>
                <c:pt idx="165">
                  <c:v>637.82999999999981</c:v>
                </c:pt>
                <c:pt idx="166">
                  <c:v>636.36999999999978</c:v>
                </c:pt>
                <c:pt idx="167">
                  <c:v>634.90999999999985</c:v>
                </c:pt>
                <c:pt idx="168">
                  <c:v>633.44999999999982</c:v>
                </c:pt>
                <c:pt idx="169">
                  <c:v>631.98999999999978</c:v>
                </c:pt>
                <c:pt idx="170">
                  <c:v>630.52999999999975</c:v>
                </c:pt>
                <c:pt idx="171">
                  <c:v>629.06999999999982</c:v>
                </c:pt>
                <c:pt idx="172">
                  <c:v>627.60999999999979</c:v>
                </c:pt>
                <c:pt idx="173">
                  <c:v>626.14999999999975</c:v>
                </c:pt>
                <c:pt idx="174">
                  <c:v>624.68999999999983</c:v>
                </c:pt>
                <c:pt idx="175">
                  <c:v>623.22999999999979</c:v>
                </c:pt>
                <c:pt idx="176">
                  <c:v>621.76999999999975</c:v>
                </c:pt>
                <c:pt idx="177">
                  <c:v>620.30999999999983</c:v>
                </c:pt>
                <c:pt idx="178">
                  <c:v>618.8499999999998</c:v>
                </c:pt>
                <c:pt idx="179">
                  <c:v>617.38999999999976</c:v>
                </c:pt>
                <c:pt idx="180">
                  <c:v>615.92999999999984</c:v>
                </c:pt>
                <c:pt idx="181">
                  <c:v>614.4699999999998</c:v>
                </c:pt>
                <c:pt idx="182">
                  <c:v>613.00999999999976</c:v>
                </c:pt>
                <c:pt idx="183">
                  <c:v>611.54999999999973</c:v>
                </c:pt>
                <c:pt idx="184">
                  <c:v>610.0899999999998</c:v>
                </c:pt>
                <c:pt idx="185">
                  <c:v>608.62999999999977</c:v>
                </c:pt>
                <c:pt idx="186">
                  <c:v>607.16999999999973</c:v>
                </c:pt>
                <c:pt idx="187">
                  <c:v>605.70999999999981</c:v>
                </c:pt>
                <c:pt idx="188">
                  <c:v>604.24999999999977</c:v>
                </c:pt>
                <c:pt idx="189">
                  <c:v>602.78999999999974</c:v>
                </c:pt>
                <c:pt idx="190">
                  <c:v>601.32999999999981</c:v>
                </c:pt>
                <c:pt idx="191">
                  <c:v>599.86999999999978</c:v>
                </c:pt>
                <c:pt idx="192">
                  <c:v>598.40999999999974</c:v>
                </c:pt>
                <c:pt idx="193">
                  <c:v>596.94999999999982</c:v>
                </c:pt>
                <c:pt idx="194">
                  <c:v>595.48999999999978</c:v>
                </c:pt>
                <c:pt idx="195">
                  <c:v>594.02999999999975</c:v>
                </c:pt>
                <c:pt idx="196">
                  <c:v>592.56999999999971</c:v>
                </c:pt>
                <c:pt idx="197">
                  <c:v>591.10999999999979</c:v>
                </c:pt>
                <c:pt idx="198">
                  <c:v>589.64999999999975</c:v>
                </c:pt>
                <c:pt idx="199">
                  <c:v>588.18999999999971</c:v>
                </c:pt>
                <c:pt idx="200">
                  <c:v>586.72999999999979</c:v>
                </c:pt>
                <c:pt idx="201">
                  <c:v>585.26999999999987</c:v>
                </c:pt>
                <c:pt idx="202">
                  <c:v>583.80999999999983</c:v>
                </c:pt>
                <c:pt idx="203">
                  <c:v>582.34999999999991</c:v>
                </c:pt>
                <c:pt idx="204">
                  <c:v>580.88999999999987</c:v>
                </c:pt>
                <c:pt idx="205">
                  <c:v>579.42999999999995</c:v>
                </c:pt>
                <c:pt idx="206">
                  <c:v>577.97</c:v>
                </c:pt>
                <c:pt idx="207">
                  <c:v>576.51</c:v>
                </c:pt>
                <c:pt idx="208">
                  <c:v>575.05000000000007</c:v>
                </c:pt>
                <c:pt idx="209">
                  <c:v>573.59</c:v>
                </c:pt>
                <c:pt idx="210">
                  <c:v>572.13000000000011</c:v>
                </c:pt>
                <c:pt idx="211">
                  <c:v>570.67000000000019</c:v>
                </c:pt>
                <c:pt idx="212">
                  <c:v>569.21000000000015</c:v>
                </c:pt>
                <c:pt idx="213">
                  <c:v>567.75000000000023</c:v>
                </c:pt>
                <c:pt idx="214">
                  <c:v>566.29000000000019</c:v>
                </c:pt>
                <c:pt idx="215">
                  <c:v>564.83000000000027</c:v>
                </c:pt>
                <c:pt idx="216">
                  <c:v>563.37000000000035</c:v>
                </c:pt>
                <c:pt idx="217">
                  <c:v>561.91000000000031</c:v>
                </c:pt>
                <c:pt idx="218">
                  <c:v>560.45000000000039</c:v>
                </c:pt>
                <c:pt idx="219">
                  <c:v>558.99000000000035</c:v>
                </c:pt>
                <c:pt idx="220">
                  <c:v>557.53000000000043</c:v>
                </c:pt>
                <c:pt idx="221">
                  <c:v>556.07000000000039</c:v>
                </c:pt>
                <c:pt idx="222">
                  <c:v>554.61000000000047</c:v>
                </c:pt>
                <c:pt idx="223">
                  <c:v>553.15000000000055</c:v>
                </c:pt>
                <c:pt idx="224">
                  <c:v>551.69000000000051</c:v>
                </c:pt>
                <c:pt idx="225">
                  <c:v>550.23000000000059</c:v>
                </c:pt>
                <c:pt idx="226">
                  <c:v>548.77000000000055</c:v>
                </c:pt>
                <c:pt idx="227">
                  <c:v>547.31000000000063</c:v>
                </c:pt>
                <c:pt idx="228">
                  <c:v>545.8500000000007</c:v>
                </c:pt>
                <c:pt idx="229">
                  <c:v>544.39000000000067</c:v>
                </c:pt>
                <c:pt idx="230">
                  <c:v>542.93000000000075</c:v>
                </c:pt>
                <c:pt idx="231">
                  <c:v>541.47000000000071</c:v>
                </c:pt>
                <c:pt idx="232">
                  <c:v>540.01000000000079</c:v>
                </c:pt>
                <c:pt idx="233">
                  <c:v>538.55000000000086</c:v>
                </c:pt>
                <c:pt idx="234">
                  <c:v>537.09000000000083</c:v>
                </c:pt>
                <c:pt idx="235">
                  <c:v>535.6300000000009</c:v>
                </c:pt>
                <c:pt idx="236">
                  <c:v>534.17000000000087</c:v>
                </c:pt>
                <c:pt idx="237">
                  <c:v>532.71000000000095</c:v>
                </c:pt>
                <c:pt idx="238">
                  <c:v>531.25000000000102</c:v>
                </c:pt>
                <c:pt idx="239">
                  <c:v>529.79000000000099</c:v>
                </c:pt>
                <c:pt idx="240">
                  <c:v>528.33000000000106</c:v>
                </c:pt>
                <c:pt idx="241">
                  <c:v>526.87000000000103</c:v>
                </c:pt>
                <c:pt idx="242">
                  <c:v>525.41000000000111</c:v>
                </c:pt>
                <c:pt idx="243">
                  <c:v>523.95000000000118</c:v>
                </c:pt>
                <c:pt idx="244">
                  <c:v>522.49000000000115</c:v>
                </c:pt>
                <c:pt idx="245">
                  <c:v>521.03000000000122</c:v>
                </c:pt>
                <c:pt idx="246">
                  <c:v>519.57000000000119</c:v>
                </c:pt>
                <c:pt idx="247">
                  <c:v>518.11000000000126</c:v>
                </c:pt>
                <c:pt idx="248">
                  <c:v>516.65000000000123</c:v>
                </c:pt>
                <c:pt idx="249">
                  <c:v>515.19000000000131</c:v>
                </c:pt>
                <c:pt idx="250">
                  <c:v>513.73000000000138</c:v>
                </c:pt>
                <c:pt idx="251">
                  <c:v>511.97872340425727</c:v>
                </c:pt>
                <c:pt idx="252">
                  <c:v>509.93617021276793</c:v>
                </c:pt>
                <c:pt idx="253">
                  <c:v>507.8936170212786</c:v>
                </c:pt>
                <c:pt idx="254">
                  <c:v>505.85106382978927</c:v>
                </c:pt>
                <c:pt idx="255">
                  <c:v>503.80851063829999</c:v>
                </c:pt>
                <c:pt idx="256">
                  <c:v>501.76595744681066</c:v>
                </c:pt>
                <c:pt idx="257">
                  <c:v>499.72340425532133</c:v>
                </c:pt>
                <c:pt idx="258">
                  <c:v>497.68085106383205</c:v>
                </c:pt>
                <c:pt idx="259">
                  <c:v>495.63829787234272</c:v>
                </c:pt>
                <c:pt idx="260">
                  <c:v>493.59574468085339</c:v>
                </c:pt>
                <c:pt idx="261">
                  <c:v>491.55319148936405</c:v>
                </c:pt>
                <c:pt idx="262">
                  <c:v>489.51063829787478</c:v>
                </c:pt>
                <c:pt idx="263">
                  <c:v>487.46808510638544</c:v>
                </c:pt>
                <c:pt idx="264">
                  <c:v>485.42553191489611</c:v>
                </c:pt>
                <c:pt idx="265">
                  <c:v>483.38297872340678</c:v>
                </c:pt>
                <c:pt idx="266">
                  <c:v>481.3404255319175</c:v>
                </c:pt>
                <c:pt idx="267">
                  <c:v>479.29787234042817</c:v>
                </c:pt>
                <c:pt idx="268">
                  <c:v>477.25531914893884</c:v>
                </c:pt>
                <c:pt idx="269">
                  <c:v>475.21276595744951</c:v>
                </c:pt>
                <c:pt idx="270">
                  <c:v>473.17021276596023</c:v>
                </c:pt>
                <c:pt idx="271">
                  <c:v>471.1276595744709</c:v>
                </c:pt>
                <c:pt idx="272">
                  <c:v>469.08510638298156</c:v>
                </c:pt>
                <c:pt idx="273">
                  <c:v>467.04255319149229</c:v>
                </c:pt>
                <c:pt idx="274">
                  <c:v>465.00000000000296</c:v>
                </c:pt>
                <c:pt idx="275">
                  <c:v>462.95744680851362</c:v>
                </c:pt>
                <c:pt idx="276">
                  <c:v>460.91489361702429</c:v>
                </c:pt>
                <c:pt idx="277">
                  <c:v>458.87234042553501</c:v>
                </c:pt>
                <c:pt idx="278">
                  <c:v>456.82978723404568</c:v>
                </c:pt>
                <c:pt idx="279">
                  <c:v>454.78723404255635</c:v>
                </c:pt>
                <c:pt idx="280">
                  <c:v>452.74468085106707</c:v>
                </c:pt>
                <c:pt idx="281">
                  <c:v>450.70212765957774</c:v>
                </c:pt>
                <c:pt idx="282">
                  <c:v>448.65957446808841</c:v>
                </c:pt>
                <c:pt idx="283">
                  <c:v>446.61702127659908</c:v>
                </c:pt>
                <c:pt idx="284">
                  <c:v>444.57446808510974</c:v>
                </c:pt>
                <c:pt idx="285">
                  <c:v>442.53191489362047</c:v>
                </c:pt>
                <c:pt idx="286">
                  <c:v>440.48936170213113</c:v>
                </c:pt>
                <c:pt idx="287">
                  <c:v>438.44680851064186</c:v>
                </c:pt>
                <c:pt idx="288">
                  <c:v>436.40425531915253</c:v>
                </c:pt>
                <c:pt idx="289">
                  <c:v>434.36170212766319</c:v>
                </c:pt>
                <c:pt idx="290">
                  <c:v>432.31914893617386</c:v>
                </c:pt>
                <c:pt idx="291">
                  <c:v>430.27659574468453</c:v>
                </c:pt>
                <c:pt idx="292">
                  <c:v>428.23404255319525</c:v>
                </c:pt>
                <c:pt idx="293">
                  <c:v>426.19148936170592</c:v>
                </c:pt>
                <c:pt idx="294">
                  <c:v>424.14893617021659</c:v>
                </c:pt>
                <c:pt idx="295">
                  <c:v>422.10638297872731</c:v>
                </c:pt>
                <c:pt idx="296">
                  <c:v>420.06382978723798</c:v>
                </c:pt>
                <c:pt idx="297">
                  <c:v>418.02127659574865</c:v>
                </c:pt>
                <c:pt idx="298">
                  <c:v>412.82608695653812</c:v>
                </c:pt>
                <c:pt idx="299">
                  <c:v>404.47826086958179</c:v>
                </c:pt>
                <c:pt idx="300">
                  <c:v>396.13043478262546</c:v>
                </c:pt>
                <c:pt idx="301">
                  <c:v>387.78260869566913</c:v>
                </c:pt>
                <c:pt idx="302">
                  <c:v>379.43478260871274</c:v>
                </c:pt>
                <c:pt idx="303">
                  <c:v>371.08695652175641</c:v>
                </c:pt>
                <c:pt idx="304">
                  <c:v>362.73913043480007</c:v>
                </c:pt>
                <c:pt idx="305">
                  <c:v>354.39130434784374</c:v>
                </c:pt>
                <c:pt idx="306">
                  <c:v>346.04347826088735</c:v>
                </c:pt>
                <c:pt idx="307">
                  <c:v>337.69565217393102</c:v>
                </c:pt>
                <c:pt idx="308">
                  <c:v>329.34782608697469</c:v>
                </c:pt>
                <c:pt idx="309">
                  <c:v>321.00000000001836</c:v>
                </c:pt>
                <c:pt idx="310">
                  <c:v>312.65217391306203</c:v>
                </c:pt>
                <c:pt idx="311">
                  <c:v>304.30434782610564</c:v>
                </c:pt>
                <c:pt idx="312">
                  <c:v>295.95652173914931</c:v>
                </c:pt>
                <c:pt idx="313">
                  <c:v>287.60869565219298</c:v>
                </c:pt>
                <c:pt idx="314">
                  <c:v>279.26086956523659</c:v>
                </c:pt>
                <c:pt idx="315">
                  <c:v>270.91304347828031</c:v>
                </c:pt>
                <c:pt idx="316">
                  <c:v>262.56521739132393</c:v>
                </c:pt>
                <c:pt idx="317">
                  <c:v>254.2173913043676</c:v>
                </c:pt>
                <c:pt idx="318">
                  <c:v>245.86956521741126</c:v>
                </c:pt>
                <c:pt idx="319">
                  <c:v>237.5217391304549</c:v>
                </c:pt>
                <c:pt idx="320">
                  <c:v>229.17391304349857</c:v>
                </c:pt>
                <c:pt idx="321">
                  <c:v>222.07407407408843</c:v>
                </c:pt>
                <c:pt idx="322">
                  <c:v>216.2222222222367</c:v>
                </c:pt>
                <c:pt idx="323">
                  <c:v>210.37037037038499</c:v>
                </c:pt>
                <c:pt idx="324">
                  <c:v>204.51851851853326</c:v>
                </c:pt>
                <c:pt idx="325">
                  <c:v>198.66666666668152</c:v>
                </c:pt>
                <c:pt idx="326">
                  <c:v>192.81481481482979</c:v>
                </c:pt>
                <c:pt idx="327">
                  <c:v>186.96296296297808</c:v>
                </c:pt>
                <c:pt idx="328">
                  <c:v>181.11111111112635</c:v>
                </c:pt>
                <c:pt idx="329">
                  <c:v>175.25925925927461</c:v>
                </c:pt>
                <c:pt idx="330">
                  <c:v>169.40740740742291</c:v>
                </c:pt>
                <c:pt idx="331">
                  <c:v>163.55555555557117</c:v>
                </c:pt>
                <c:pt idx="332">
                  <c:v>157.70370370371944</c:v>
                </c:pt>
                <c:pt idx="333">
                  <c:v>151.85185185186771</c:v>
                </c:pt>
                <c:pt idx="334">
                  <c:v>146.00000000001597</c:v>
                </c:pt>
                <c:pt idx="335">
                  <c:v>140.14814814816427</c:v>
                </c:pt>
                <c:pt idx="336">
                  <c:v>134.29629629631253</c:v>
                </c:pt>
                <c:pt idx="337">
                  <c:v>128.44444444446083</c:v>
                </c:pt>
                <c:pt idx="338">
                  <c:v>122.59259259260908</c:v>
                </c:pt>
                <c:pt idx="339">
                  <c:v>116.74074074075736</c:v>
                </c:pt>
                <c:pt idx="340">
                  <c:v>110.88888888890563</c:v>
                </c:pt>
                <c:pt idx="341">
                  <c:v>105.03703703705391</c:v>
                </c:pt>
                <c:pt idx="342">
                  <c:v>99.185185185202172</c:v>
                </c:pt>
                <c:pt idx="343">
                  <c:v>93.333333333350453</c:v>
                </c:pt>
                <c:pt idx="344">
                  <c:v>87.481481481498719</c:v>
                </c:pt>
                <c:pt idx="345">
                  <c:v>81.629629629646985</c:v>
                </c:pt>
                <c:pt idx="346">
                  <c:v>75.777777777795279</c:v>
                </c:pt>
                <c:pt idx="347">
                  <c:v>69.925925925943545</c:v>
                </c:pt>
                <c:pt idx="348">
                  <c:v>64.20833333335024</c:v>
                </c:pt>
                <c:pt idx="349">
                  <c:v>58.625000000017017</c:v>
                </c:pt>
                <c:pt idx="350">
                  <c:v>53.041666666683788</c:v>
                </c:pt>
                <c:pt idx="351">
                  <c:v>47.458333333350552</c:v>
                </c:pt>
                <c:pt idx="352">
                  <c:v>41.875000000017323</c:v>
                </c:pt>
                <c:pt idx="353">
                  <c:v>36.291666666684094</c:v>
                </c:pt>
                <c:pt idx="354">
                  <c:v>30.708333333350872</c:v>
                </c:pt>
                <c:pt idx="355">
                  <c:v>25.125000000017643</c:v>
                </c:pt>
                <c:pt idx="356">
                  <c:v>19.541666666684407</c:v>
                </c:pt>
                <c:pt idx="357">
                  <c:v>13.958333333351177</c:v>
                </c:pt>
                <c:pt idx="358">
                  <c:v>8.3750000000179483</c:v>
                </c:pt>
                <c:pt idx="359">
                  <c:v>2.7916666666847192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3-7045-93AD-06357D4BED02}"/>
            </c:ext>
          </c:extLst>
        </c:ser>
        <c:ser>
          <c:idx val="2"/>
          <c:order val="1"/>
          <c:tx>
            <c:strRef>
              <c:f>Courbes!$B$135</c:f>
              <c:strCache>
                <c:ptCount val="1"/>
                <c:pt idx="0">
                  <c:v>Poids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Calculs!$T$4:$T$1004</c:f>
              <c:numCache>
                <c:formatCode>0.00</c:formatCode>
                <c:ptCount val="1001"/>
                <c:pt idx="0">
                  <c:v>70.484850000000009</c:v>
                </c:pt>
                <c:pt idx="1">
                  <c:v>70.480453598531852</c:v>
                </c:pt>
                <c:pt idx="2">
                  <c:v>70.467264394127398</c:v>
                </c:pt>
                <c:pt idx="3">
                  <c:v>70.44528238678663</c:v>
                </c:pt>
                <c:pt idx="4">
                  <c:v>70.414507576509564</c:v>
                </c:pt>
                <c:pt idx="5">
                  <c:v>70.3749399632962</c:v>
                </c:pt>
                <c:pt idx="6">
                  <c:v>70.331027915535117</c:v>
                </c:pt>
                <c:pt idx="7">
                  <c:v>70.287219801614867</c:v>
                </c:pt>
                <c:pt idx="8">
                  <c:v>70.243515621535494</c:v>
                </c:pt>
                <c:pt idx="9">
                  <c:v>70.199915375296968</c:v>
                </c:pt>
                <c:pt idx="10">
                  <c:v>70.156419062899289</c:v>
                </c:pt>
                <c:pt idx="11">
                  <c:v>70.113026684342472</c:v>
                </c:pt>
                <c:pt idx="12">
                  <c:v>70.069738239626503</c:v>
                </c:pt>
                <c:pt idx="13">
                  <c:v>70.026553728751395</c:v>
                </c:pt>
                <c:pt idx="14">
                  <c:v>69.983473151717135</c:v>
                </c:pt>
                <c:pt idx="15">
                  <c:v>69.940496508523736</c:v>
                </c:pt>
                <c:pt idx="16">
                  <c:v>69.8976237991712</c:v>
                </c:pt>
                <c:pt idx="17">
                  <c:v>69.854855023659496</c:v>
                </c:pt>
                <c:pt idx="18">
                  <c:v>69.812190181988669</c:v>
                </c:pt>
                <c:pt idx="19">
                  <c:v>69.769629274158675</c:v>
                </c:pt>
                <c:pt idx="20">
                  <c:v>69.727172300169556</c:v>
                </c:pt>
                <c:pt idx="21">
                  <c:v>69.684819260021285</c:v>
                </c:pt>
                <c:pt idx="22">
                  <c:v>69.642570153713862</c:v>
                </c:pt>
                <c:pt idx="23">
                  <c:v>69.600424981247301</c:v>
                </c:pt>
                <c:pt idx="24">
                  <c:v>69.558383742621587</c:v>
                </c:pt>
                <c:pt idx="25">
                  <c:v>69.516446437836734</c:v>
                </c:pt>
                <c:pt idx="26">
                  <c:v>69.474613066892744</c:v>
                </c:pt>
                <c:pt idx="27">
                  <c:v>69.4328836297896</c:v>
                </c:pt>
                <c:pt idx="28">
                  <c:v>69.391258126527305</c:v>
                </c:pt>
                <c:pt idx="29">
                  <c:v>69.349736557105871</c:v>
                </c:pt>
                <c:pt idx="30">
                  <c:v>69.308318921525284</c:v>
                </c:pt>
                <c:pt idx="31">
                  <c:v>69.26700521978556</c:v>
                </c:pt>
                <c:pt idx="32">
                  <c:v>69.225795451886697</c:v>
                </c:pt>
                <c:pt idx="33">
                  <c:v>69.184689617828667</c:v>
                </c:pt>
                <c:pt idx="34">
                  <c:v>69.143687717611513</c:v>
                </c:pt>
                <c:pt idx="35">
                  <c:v>69.102789751235207</c:v>
                </c:pt>
                <c:pt idx="36">
                  <c:v>69.061995718699748</c:v>
                </c:pt>
                <c:pt idx="37">
                  <c:v>69.021305620005151</c:v>
                </c:pt>
                <c:pt idx="38">
                  <c:v>68.980719455151416</c:v>
                </c:pt>
                <c:pt idx="39">
                  <c:v>68.940237224138528</c:v>
                </c:pt>
                <c:pt idx="40">
                  <c:v>68.899858926966488</c:v>
                </c:pt>
                <c:pt idx="41">
                  <c:v>68.859584563635309</c:v>
                </c:pt>
                <c:pt idx="42">
                  <c:v>68.819414134144978</c:v>
                </c:pt>
                <c:pt idx="43">
                  <c:v>68.779347638495508</c:v>
                </c:pt>
                <c:pt idx="44">
                  <c:v>68.739385076686901</c:v>
                </c:pt>
                <c:pt idx="45">
                  <c:v>68.699526448719126</c:v>
                </c:pt>
                <c:pt idx="46">
                  <c:v>68.659771754592228</c:v>
                </c:pt>
                <c:pt idx="47">
                  <c:v>68.620120994306177</c:v>
                </c:pt>
                <c:pt idx="48">
                  <c:v>68.580574167860973</c:v>
                </c:pt>
                <c:pt idx="49">
                  <c:v>68.541131275256632</c:v>
                </c:pt>
                <c:pt idx="50">
                  <c:v>68.501792316493152</c:v>
                </c:pt>
                <c:pt idx="51">
                  <c:v>68.462534371423502</c:v>
                </c:pt>
                <c:pt idx="52">
                  <c:v>68.423334519900706</c:v>
                </c:pt>
                <c:pt idx="53">
                  <c:v>68.384192761924737</c:v>
                </c:pt>
                <c:pt idx="54">
                  <c:v>68.345109097495595</c:v>
                </c:pt>
                <c:pt idx="55">
                  <c:v>68.306083526613293</c:v>
                </c:pt>
                <c:pt idx="56">
                  <c:v>68.267116049277831</c:v>
                </c:pt>
                <c:pt idx="57">
                  <c:v>68.228206665489196</c:v>
                </c:pt>
                <c:pt idx="58">
                  <c:v>68.189355375247402</c:v>
                </c:pt>
                <c:pt idx="59">
                  <c:v>68.150562178552448</c:v>
                </c:pt>
                <c:pt idx="60">
                  <c:v>68.111827075404321</c:v>
                </c:pt>
                <c:pt idx="61">
                  <c:v>68.073150065803034</c:v>
                </c:pt>
                <c:pt idx="62">
                  <c:v>68.034531149748588</c:v>
                </c:pt>
                <c:pt idx="63">
                  <c:v>67.995970327240983</c:v>
                </c:pt>
                <c:pt idx="64">
                  <c:v>67.957467598280189</c:v>
                </c:pt>
                <c:pt idx="65">
                  <c:v>67.919022962866251</c:v>
                </c:pt>
                <c:pt idx="66">
                  <c:v>67.880636420999139</c:v>
                </c:pt>
                <c:pt idx="67">
                  <c:v>67.842307972678867</c:v>
                </c:pt>
                <c:pt idx="68">
                  <c:v>67.804037617905436</c:v>
                </c:pt>
                <c:pt idx="69">
                  <c:v>67.765825356678832</c:v>
                </c:pt>
                <c:pt idx="70">
                  <c:v>67.727671188999068</c:v>
                </c:pt>
                <c:pt idx="71">
                  <c:v>67.68957511486613</c:v>
                </c:pt>
                <c:pt idx="72">
                  <c:v>67.651537134280048</c:v>
                </c:pt>
                <c:pt idx="73">
                  <c:v>67.613557247240777</c:v>
                </c:pt>
                <c:pt idx="74">
                  <c:v>67.575635453748362</c:v>
                </c:pt>
                <c:pt idx="75">
                  <c:v>67.537771753802772</c:v>
                </c:pt>
                <c:pt idx="76">
                  <c:v>67.499966147404024</c:v>
                </c:pt>
                <c:pt idx="77">
                  <c:v>67.462218634552102</c:v>
                </c:pt>
                <c:pt idx="78">
                  <c:v>67.42452921524702</c:v>
                </c:pt>
                <c:pt idx="79">
                  <c:v>67.386897889488779</c:v>
                </c:pt>
                <c:pt idx="80">
                  <c:v>67.349324657277364</c:v>
                </c:pt>
                <c:pt idx="81">
                  <c:v>67.31180951861279</c:v>
                </c:pt>
                <c:pt idx="82">
                  <c:v>67.274352473495057</c:v>
                </c:pt>
                <c:pt idx="83">
                  <c:v>67.23695352192415</c:v>
                </c:pt>
                <c:pt idx="84">
                  <c:v>67.199612663900083</c:v>
                </c:pt>
                <c:pt idx="85">
                  <c:v>67.162329899422858</c:v>
                </c:pt>
                <c:pt idx="86">
                  <c:v>67.125105228492458</c:v>
                </c:pt>
                <c:pt idx="87">
                  <c:v>67.087938651108885</c:v>
                </c:pt>
                <c:pt idx="88">
                  <c:v>67.050830167272167</c:v>
                </c:pt>
                <c:pt idx="89">
                  <c:v>67.013779776982275</c:v>
                </c:pt>
                <c:pt idx="90">
                  <c:v>66.976787480239224</c:v>
                </c:pt>
                <c:pt idx="91">
                  <c:v>66.939853277042999</c:v>
                </c:pt>
                <c:pt idx="92">
                  <c:v>66.902977167393615</c:v>
                </c:pt>
                <c:pt idx="93">
                  <c:v>66.866159151291072</c:v>
                </c:pt>
                <c:pt idx="94">
                  <c:v>66.829399228735369</c:v>
                </c:pt>
                <c:pt idx="95">
                  <c:v>66.792697399726492</c:v>
                </c:pt>
                <c:pt idx="96">
                  <c:v>66.756053664264442</c:v>
                </c:pt>
                <c:pt idx="97">
                  <c:v>66.719468022349247</c:v>
                </c:pt>
                <c:pt idx="98">
                  <c:v>66.682940473980864</c:v>
                </c:pt>
                <c:pt idx="99">
                  <c:v>66.646471019159335</c:v>
                </c:pt>
                <c:pt idx="100">
                  <c:v>66.610059657884634</c:v>
                </c:pt>
                <c:pt idx="101">
                  <c:v>66.573716728838832</c:v>
                </c:pt>
                <c:pt idx="102">
                  <c:v>66.537452570704005</c:v>
                </c:pt>
                <c:pt idx="103">
                  <c:v>66.501267183480138</c:v>
                </c:pt>
                <c:pt idx="104">
                  <c:v>66.465160567167231</c:v>
                </c:pt>
                <c:pt idx="105">
                  <c:v>66.429132721765285</c:v>
                </c:pt>
                <c:pt idx="106">
                  <c:v>66.393183647274313</c:v>
                </c:pt>
                <c:pt idx="107">
                  <c:v>66.357313343694287</c:v>
                </c:pt>
                <c:pt idx="108">
                  <c:v>66.321521811025235</c:v>
                </c:pt>
                <c:pt idx="109">
                  <c:v>66.285809049267144</c:v>
                </c:pt>
                <c:pt idx="110">
                  <c:v>66.250175058420027</c:v>
                </c:pt>
                <c:pt idx="111">
                  <c:v>66.214619838483856</c:v>
                </c:pt>
                <c:pt idx="112">
                  <c:v>66.179143389458645</c:v>
                </c:pt>
                <c:pt idx="113">
                  <c:v>66.143745711344408</c:v>
                </c:pt>
                <c:pt idx="114">
                  <c:v>66.108426804141146</c:v>
                </c:pt>
                <c:pt idx="115">
                  <c:v>66.07318666784883</c:v>
                </c:pt>
                <c:pt idx="116">
                  <c:v>66.038025302467489</c:v>
                </c:pt>
                <c:pt idx="117">
                  <c:v>66.002942707997107</c:v>
                </c:pt>
                <c:pt idx="118">
                  <c:v>65.9679388844377</c:v>
                </c:pt>
                <c:pt idx="119">
                  <c:v>65.933013831789239</c:v>
                </c:pt>
                <c:pt idx="120">
                  <c:v>65.898167550051753</c:v>
                </c:pt>
                <c:pt idx="121">
                  <c:v>65.863400039225212</c:v>
                </c:pt>
                <c:pt idx="122">
                  <c:v>65.828711299309646</c:v>
                </c:pt>
                <c:pt idx="123">
                  <c:v>65.794101330305054</c:v>
                </c:pt>
                <c:pt idx="124">
                  <c:v>65.759570132211408</c:v>
                </c:pt>
                <c:pt idx="125">
                  <c:v>65.725117705028737</c:v>
                </c:pt>
                <c:pt idx="126">
                  <c:v>65.690744048757026</c:v>
                </c:pt>
                <c:pt idx="127">
                  <c:v>65.656449163396289</c:v>
                </c:pt>
                <c:pt idx="128">
                  <c:v>65.622233048946512</c:v>
                </c:pt>
                <c:pt idx="129">
                  <c:v>65.588095705407682</c:v>
                </c:pt>
                <c:pt idx="130">
                  <c:v>65.55403713277984</c:v>
                </c:pt>
                <c:pt idx="131">
                  <c:v>65.520057331062944</c:v>
                </c:pt>
                <c:pt idx="132">
                  <c:v>65.486156300257008</c:v>
                </c:pt>
                <c:pt idx="133">
                  <c:v>65.452334040362047</c:v>
                </c:pt>
                <c:pt idx="134">
                  <c:v>65.418590551378031</c:v>
                </c:pt>
                <c:pt idx="135">
                  <c:v>65.38492583330499</c:v>
                </c:pt>
                <c:pt idx="136">
                  <c:v>65.351339886142924</c:v>
                </c:pt>
                <c:pt idx="137">
                  <c:v>65.317832709891803</c:v>
                </c:pt>
                <c:pt idx="138">
                  <c:v>65.284404304551671</c:v>
                </c:pt>
                <c:pt idx="139">
                  <c:v>65.251054670122485</c:v>
                </c:pt>
                <c:pt idx="140">
                  <c:v>65.21778380660426</c:v>
                </c:pt>
                <c:pt idx="141">
                  <c:v>65.184591713997008</c:v>
                </c:pt>
                <c:pt idx="142">
                  <c:v>65.151478392300717</c:v>
                </c:pt>
                <c:pt idx="143">
                  <c:v>65.118443841515386</c:v>
                </c:pt>
                <c:pt idx="144">
                  <c:v>65.085488061641016</c:v>
                </c:pt>
                <c:pt idx="145">
                  <c:v>65.052611052677605</c:v>
                </c:pt>
                <c:pt idx="146">
                  <c:v>65.019812814625169</c:v>
                </c:pt>
                <c:pt idx="147">
                  <c:v>64.987093347483693</c:v>
                </c:pt>
                <c:pt idx="148">
                  <c:v>64.954452651253177</c:v>
                </c:pt>
                <c:pt idx="149">
                  <c:v>64.921890725933636</c:v>
                </c:pt>
                <c:pt idx="150">
                  <c:v>64.889407571525055</c:v>
                </c:pt>
                <c:pt idx="151">
                  <c:v>64.856999741800081</c:v>
                </c:pt>
                <c:pt idx="152">
                  <c:v>64.824663790531361</c:v>
                </c:pt>
                <c:pt idx="153">
                  <c:v>64.79239971771888</c:v>
                </c:pt>
                <c:pt idx="154">
                  <c:v>64.760207523362666</c:v>
                </c:pt>
                <c:pt idx="155">
                  <c:v>64.728087207462707</c:v>
                </c:pt>
                <c:pt idx="156">
                  <c:v>64.696038770019001</c:v>
                </c:pt>
                <c:pt idx="157">
                  <c:v>64.664062211031549</c:v>
                </c:pt>
                <c:pt idx="158">
                  <c:v>64.632157530500351</c:v>
                </c:pt>
                <c:pt idx="159">
                  <c:v>64.600324728425406</c:v>
                </c:pt>
                <c:pt idx="160">
                  <c:v>64.568563804806729</c:v>
                </c:pt>
                <c:pt idx="161">
                  <c:v>64.536874759644292</c:v>
                </c:pt>
                <c:pt idx="162">
                  <c:v>64.505257592938108</c:v>
                </c:pt>
                <c:pt idx="163">
                  <c:v>64.473712304688178</c:v>
                </c:pt>
                <c:pt idx="164">
                  <c:v>64.442238894894501</c:v>
                </c:pt>
                <c:pt idx="165">
                  <c:v>64.410837363557093</c:v>
                </c:pt>
                <c:pt idx="166">
                  <c:v>64.379507710675924</c:v>
                </c:pt>
                <c:pt idx="167">
                  <c:v>64.348249936251023</c:v>
                </c:pt>
                <c:pt idx="168">
                  <c:v>64.317064040282361</c:v>
                </c:pt>
                <c:pt idx="169">
                  <c:v>64.285950022769953</c:v>
                </c:pt>
                <c:pt idx="170">
                  <c:v>64.254907883713813</c:v>
                </c:pt>
                <c:pt idx="171">
                  <c:v>64.223937623113926</c:v>
                </c:pt>
                <c:pt idx="172">
                  <c:v>64.193039240970279</c:v>
                </c:pt>
                <c:pt idx="173">
                  <c:v>64.1622127372829</c:v>
                </c:pt>
                <c:pt idx="174">
                  <c:v>64.131458112051774</c:v>
                </c:pt>
                <c:pt idx="175">
                  <c:v>64.100775365276903</c:v>
                </c:pt>
                <c:pt idx="176">
                  <c:v>64.070164496958284</c:v>
                </c:pt>
                <c:pt idx="177">
                  <c:v>64.039625507095906</c:v>
                </c:pt>
                <c:pt idx="178">
                  <c:v>64.009158395689795</c:v>
                </c:pt>
                <c:pt idx="179">
                  <c:v>63.978763162739945</c:v>
                </c:pt>
                <c:pt idx="180">
                  <c:v>63.948439808246341</c:v>
                </c:pt>
                <c:pt idx="181">
                  <c:v>63.918188332208992</c:v>
                </c:pt>
                <c:pt idx="182">
                  <c:v>63.888008734627896</c:v>
                </c:pt>
                <c:pt idx="183">
                  <c:v>63.857901015503053</c:v>
                </c:pt>
                <c:pt idx="184">
                  <c:v>63.827865174834464</c:v>
                </c:pt>
                <c:pt idx="185">
                  <c:v>63.797901212622136</c:v>
                </c:pt>
                <c:pt idx="186">
                  <c:v>63.768009128866055</c:v>
                </c:pt>
                <c:pt idx="187">
                  <c:v>63.738188923566234</c:v>
                </c:pt>
                <c:pt idx="188">
                  <c:v>63.70844059672266</c:v>
                </c:pt>
                <c:pt idx="189">
                  <c:v>63.678764148335347</c:v>
                </c:pt>
                <c:pt idx="190">
                  <c:v>63.649159578404287</c:v>
                </c:pt>
                <c:pt idx="191">
                  <c:v>63.619626886929481</c:v>
                </c:pt>
                <c:pt idx="192">
                  <c:v>63.590166073910922</c:v>
                </c:pt>
                <c:pt idx="193">
                  <c:v>63.560777139348623</c:v>
                </c:pt>
                <c:pt idx="194">
                  <c:v>63.531460083242578</c:v>
                </c:pt>
                <c:pt idx="195">
                  <c:v>63.502214905592794</c:v>
                </c:pt>
                <c:pt idx="196">
                  <c:v>63.473041606399256</c:v>
                </c:pt>
                <c:pt idx="197">
                  <c:v>63.443940185661972</c:v>
                </c:pt>
                <c:pt idx="198">
                  <c:v>63.414910643380942</c:v>
                </c:pt>
                <c:pt idx="199">
                  <c:v>63.385952979556166</c:v>
                </c:pt>
                <c:pt idx="200">
                  <c:v>63.35706719418765</c:v>
                </c:pt>
                <c:pt idx="201">
                  <c:v>63.328253287275388</c:v>
                </c:pt>
                <c:pt idx="202">
                  <c:v>63.299511258819372</c:v>
                </c:pt>
                <c:pt idx="203">
                  <c:v>63.27084110881961</c:v>
                </c:pt>
                <c:pt idx="204">
                  <c:v>63.242242837276109</c:v>
                </c:pt>
                <c:pt idx="205">
                  <c:v>63.213716444188861</c:v>
                </c:pt>
                <c:pt idx="206">
                  <c:v>63.185261929557868</c:v>
                </c:pt>
                <c:pt idx="207">
                  <c:v>63.156879293383128</c:v>
                </c:pt>
                <c:pt idx="208">
                  <c:v>63.128568535664641</c:v>
                </c:pt>
                <c:pt idx="209">
                  <c:v>63.100329656402408</c:v>
                </c:pt>
                <c:pt idx="210">
                  <c:v>63.072162655596436</c:v>
                </c:pt>
                <c:pt idx="211">
                  <c:v>63.044067533246711</c:v>
                </c:pt>
                <c:pt idx="212">
                  <c:v>63.016044289353239</c:v>
                </c:pt>
                <c:pt idx="213">
                  <c:v>62.988092923916021</c:v>
                </c:pt>
                <c:pt idx="214">
                  <c:v>62.960213436935064</c:v>
                </c:pt>
                <c:pt idx="215">
                  <c:v>62.93240582841036</c:v>
                </c:pt>
                <c:pt idx="216">
                  <c:v>62.904670098341903</c:v>
                </c:pt>
                <c:pt idx="217">
                  <c:v>62.877006246729707</c:v>
                </c:pt>
                <c:pt idx="218">
                  <c:v>62.849414273573757</c:v>
                </c:pt>
                <c:pt idx="219">
                  <c:v>62.821894178874068</c:v>
                </c:pt>
                <c:pt idx="220">
                  <c:v>62.794445962630633</c:v>
                </c:pt>
                <c:pt idx="221">
                  <c:v>62.767069624843451</c:v>
                </c:pt>
                <c:pt idx="222">
                  <c:v>62.739765165512523</c:v>
                </c:pt>
                <c:pt idx="223">
                  <c:v>62.712532584637849</c:v>
                </c:pt>
                <c:pt idx="224">
                  <c:v>62.685371882219428</c:v>
                </c:pt>
                <c:pt idx="225">
                  <c:v>62.658283058257268</c:v>
                </c:pt>
                <c:pt idx="226">
                  <c:v>62.631266112751355</c:v>
                </c:pt>
                <c:pt idx="227">
                  <c:v>62.604321045701695</c:v>
                </c:pt>
                <c:pt idx="228">
                  <c:v>62.577447857108289</c:v>
                </c:pt>
                <c:pt idx="229">
                  <c:v>62.550646546971144</c:v>
                </c:pt>
                <c:pt idx="230">
                  <c:v>62.523917115290253</c:v>
                </c:pt>
                <c:pt idx="231">
                  <c:v>62.497259562065615</c:v>
                </c:pt>
                <c:pt idx="232">
                  <c:v>62.470673887297231</c:v>
                </c:pt>
                <c:pt idx="233">
                  <c:v>62.4441600909851</c:v>
                </c:pt>
                <c:pt idx="234">
                  <c:v>62.417718173129231</c:v>
                </c:pt>
                <c:pt idx="235">
                  <c:v>62.391348133729608</c:v>
                </c:pt>
                <c:pt idx="236">
                  <c:v>62.365049972786238</c:v>
                </c:pt>
                <c:pt idx="237">
                  <c:v>62.338823690299122</c:v>
                </c:pt>
                <c:pt idx="238">
                  <c:v>62.312669286268267</c:v>
                </c:pt>
                <c:pt idx="239">
                  <c:v>62.286586760693666</c:v>
                </c:pt>
                <c:pt idx="240">
                  <c:v>62.260576113575311</c:v>
                </c:pt>
                <c:pt idx="241">
                  <c:v>62.234637344913217</c:v>
                </c:pt>
                <c:pt idx="242">
                  <c:v>62.20877045470737</c:v>
                </c:pt>
                <c:pt idx="243">
                  <c:v>62.182975442957783</c:v>
                </c:pt>
                <c:pt idx="244">
                  <c:v>62.15725230966445</c:v>
                </c:pt>
                <c:pt idx="245">
                  <c:v>62.131601054827371</c:v>
                </c:pt>
                <c:pt idx="246">
                  <c:v>62.106021678446545</c:v>
                </c:pt>
                <c:pt idx="247">
                  <c:v>62.080514180521973</c:v>
                </c:pt>
                <c:pt idx="248">
                  <c:v>62.055078561053655</c:v>
                </c:pt>
                <c:pt idx="249">
                  <c:v>62.029714820041598</c:v>
                </c:pt>
                <c:pt idx="250">
                  <c:v>62.004422957485787</c:v>
                </c:pt>
                <c:pt idx="251">
                  <c:v>61.979217313462975</c:v>
                </c:pt>
                <c:pt idx="252">
                  <c:v>61.954112228049908</c:v>
                </c:pt>
                <c:pt idx="253">
                  <c:v>61.929107701246579</c:v>
                </c:pt>
                <c:pt idx="254">
                  <c:v>61.904203733052988</c:v>
                </c:pt>
                <c:pt idx="255">
                  <c:v>61.879400323469142</c:v>
                </c:pt>
                <c:pt idx="256">
                  <c:v>61.854697472495033</c:v>
                </c:pt>
                <c:pt idx="257">
                  <c:v>61.83009518013067</c:v>
                </c:pt>
                <c:pt idx="258">
                  <c:v>61.805593446376044</c:v>
                </c:pt>
                <c:pt idx="259">
                  <c:v>61.781192271231163</c:v>
                </c:pt>
                <c:pt idx="260">
                  <c:v>61.756891654696027</c:v>
                </c:pt>
                <c:pt idx="261">
                  <c:v>61.732691596770614</c:v>
                </c:pt>
                <c:pt idx="262">
                  <c:v>61.708592097454947</c:v>
                </c:pt>
                <c:pt idx="263">
                  <c:v>61.684593156749024</c:v>
                </c:pt>
                <c:pt idx="264">
                  <c:v>61.660694774652839</c:v>
                </c:pt>
                <c:pt idx="265">
                  <c:v>61.636896951166392</c:v>
                </c:pt>
                <c:pt idx="266">
                  <c:v>61.61319968628969</c:v>
                </c:pt>
                <c:pt idx="267">
                  <c:v>61.589602980022732</c:v>
                </c:pt>
                <c:pt idx="268">
                  <c:v>61.566106832365513</c:v>
                </c:pt>
                <c:pt idx="269">
                  <c:v>61.542711243318031</c:v>
                </c:pt>
                <c:pt idx="270">
                  <c:v>61.519416212880294</c:v>
                </c:pt>
                <c:pt idx="271">
                  <c:v>61.496221741052295</c:v>
                </c:pt>
                <c:pt idx="272">
                  <c:v>61.473127827834041</c:v>
                </c:pt>
                <c:pt idx="273">
                  <c:v>61.450134473225525</c:v>
                </c:pt>
                <c:pt idx="274">
                  <c:v>61.427241677226753</c:v>
                </c:pt>
                <c:pt idx="275">
                  <c:v>61.40444943983772</c:v>
                </c:pt>
                <c:pt idx="276">
                  <c:v>61.381757761058431</c:v>
                </c:pt>
                <c:pt idx="277">
                  <c:v>61.359166640888873</c:v>
                </c:pt>
                <c:pt idx="278">
                  <c:v>61.33667607932906</c:v>
                </c:pt>
                <c:pt idx="279">
                  <c:v>61.314286076378984</c:v>
                </c:pt>
                <c:pt idx="280">
                  <c:v>61.291996632038646</c:v>
                </c:pt>
                <c:pt idx="281">
                  <c:v>61.269807746308054</c:v>
                </c:pt>
                <c:pt idx="282">
                  <c:v>61.247719419187199</c:v>
                </c:pt>
                <c:pt idx="283">
                  <c:v>61.225731650676089</c:v>
                </c:pt>
                <c:pt idx="284">
                  <c:v>61.203844440774724</c:v>
                </c:pt>
                <c:pt idx="285">
                  <c:v>61.182057789483096</c:v>
                </c:pt>
                <c:pt idx="286">
                  <c:v>61.160371696801207</c:v>
                </c:pt>
                <c:pt idx="287">
                  <c:v>61.138786162729062</c:v>
                </c:pt>
                <c:pt idx="288">
                  <c:v>61.117301187266655</c:v>
                </c:pt>
                <c:pt idx="289">
                  <c:v>61.095916770413993</c:v>
                </c:pt>
                <c:pt idx="290">
                  <c:v>61.074632912171069</c:v>
                </c:pt>
                <c:pt idx="291">
                  <c:v>61.053449612537889</c:v>
                </c:pt>
                <c:pt idx="292">
                  <c:v>61.032366871514448</c:v>
                </c:pt>
                <c:pt idx="293">
                  <c:v>61.011384689100751</c:v>
                </c:pt>
                <c:pt idx="294">
                  <c:v>60.990503065296785</c:v>
                </c:pt>
                <c:pt idx="295">
                  <c:v>60.969722000102557</c:v>
                </c:pt>
                <c:pt idx="296">
                  <c:v>60.949041493518074</c:v>
                </c:pt>
                <c:pt idx="297">
                  <c:v>60.928461545543328</c:v>
                </c:pt>
                <c:pt idx="298">
                  <c:v>60.908137366206411</c:v>
                </c:pt>
                <c:pt idx="299">
                  <c:v>60.888224165535377</c:v>
                </c:pt>
                <c:pt idx="300">
                  <c:v>60.868721943530254</c:v>
                </c:pt>
                <c:pt idx="301">
                  <c:v>60.849630700191014</c:v>
                </c:pt>
                <c:pt idx="302">
                  <c:v>60.830950435517678</c:v>
                </c:pt>
                <c:pt idx="303">
                  <c:v>60.81268114951024</c:v>
                </c:pt>
                <c:pt idx="304">
                  <c:v>60.794822842168699</c:v>
                </c:pt>
                <c:pt idx="305">
                  <c:v>60.777375513493048</c:v>
                </c:pt>
                <c:pt idx="306">
                  <c:v>60.760339163483302</c:v>
                </c:pt>
                <c:pt idx="307">
                  <c:v>60.743713792139445</c:v>
                </c:pt>
                <c:pt idx="308">
                  <c:v>60.727499399461493</c:v>
                </c:pt>
                <c:pt idx="309">
                  <c:v>60.711695985449431</c:v>
                </c:pt>
                <c:pt idx="310">
                  <c:v>60.696303550103266</c:v>
                </c:pt>
                <c:pt idx="311">
                  <c:v>60.681322093422999</c:v>
                </c:pt>
                <c:pt idx="312">
                  <c:v>60.666751615408636</c:v>
                </c:pt>
                <c:pt idx="313">
                  <c:v>60.652592116060156</c:v>
                </c:pt>
                <c:pt idx="314">
                  <c:v>60.638843595377587</c:v>
                </c:pt>
                <c:pt idx="315">
                  <c:v>60.625506053360901</c:v>
                </c:pt>
                <c:pt idx="316">
                  <c:v>60.61257949001012</c:v>
                </c:pt>
                <c:pt idx="317">
                  <c:v>60.600063905325236</c:v>
                </c:pt>
                <c:pt idx="318">
                  <c:v>60.587959299306249</c:v>
                </c:pt>
                <c:pt idx="319">
                  <c:v>60.576265671953152</c:v>
                </c:pt>
                <c:pt idx="320">
                  <c:v>60.56498302326596</c:v>
                </c:pt>
                <c:pt idx="321">
                  <c:v>60.554049912568338</c:v>
                </c:pt>
                <c:pt idx="322">
                  <c:v>60.543404899183962</c:v>
                </c:pt>
                <c:pt idx="323">
                  <c:v>60.533047983112837</c:v>
                </c:pt>
                <c:pt idx="324">
                  <c:v>60.52297916435495</c:v>
                </c:pt>
                <c:pt idx="325">
                  <c:v>60.513198442910316</c:v>
                </c:pt>
                <c:pt idx="326">
                  <c:v>60.503705818778919</c:v>
                </c:pt>
                <c:pt idx="327">
                  <c:v>60.494501291960773</c:v>
                </c:pt>
                <c:pt idx="328">
                  <c:v>60.485584862455873</c:v>
                </c:pt>
                <c:pt idx="329">
                  <c:v>60.476956530264218</c:v>
                </c:pt>
                <c:pt idx="330">
                  <c:v>60.468616295385807</c:v>
                </c:pt>
                <c:pt idx="331">
                  <c:v>60.460564157820642</c:v>
                </c:pt>
                <c:pt idx="332">
                  <c:v>60.452800117568728</c:v>
                </c:pt>
                <c:pt idx="333">
                  <c:v>60.445324174630052</c:v>
                </c:pt>
                <c:pt idx="334">
                  <c:v>60.438136329004635</c:v>
                </c:pt>
                <c:pt idx="335">
                  <c:v>60.431236580692463</c:v>
                </c:pt>
                <c:pt idx="336">
                  <c:v>60.424624929693529</c:v>
                </c:pt>
                <c:pt idx="337">
                  <c:v>60.418301376007854</c:v>
                </c:pt>
                <c:pt idx="338">
                  <c:v>60.412265919635416</c:v>
                </c:pt>
                <c:pt idx="339">
                  <c:v>60.406518560576224</c:v>
                </c:pt>
                <c:pt idx="340">
                  <c:v>60.401059298830276</c:v>
                </c:pt>
                <c:pt idx="341">
                  <c:v>60.39588813439758</c:v>
                </c:pt>
                <c:pt idx="342">
                  <c:v>60.391005067278122</c:v>
                </c:pt>
                <c:pt idx="343">
                  <c:v>60.386410097471916</c:v>
                </c:pt>
                <c:pt idx="344">
                  <c:v>60.382103224978955</c:v>
                </c:pt>
                <c:pt idx="345">
                  <c:v>60.378084449799232</c:v>
                </c:pt>
                <c:pt idx="346">
                  <c:v>60.374353771932761</c:v>
                </c:pt>
                <c:pt idx="347">
                  <c:v>60.370911191379548</c:v>
                </c:pt>
                <c:pt idx="348">
                  <c:v>60.367750098311973</c:v>
                </c:pt>
                <c:pt idx="349">
                  <c:v>60.364863882902448</c:v>
                </c:pt>
                <c:pt idx="350">
                  <c:v>60.362252545150973</c:v>
                </c:pt>
                <c:pt idx="351">
                  <c:v>60.359916085057549</c:v>
                </c:pt>
                <c:pt idx="352">
                  <c:v>60.357854502622168</c:v>
                </c:pt>
                <c:pt idx="353">
                  <c:v>60.356067797844844</c:v>
                </c:pt>
                <c:pt idx="354">
                  <c:v>60.354555970725571</c:v>
                </c:pt>
                <c:pt idx="355">
                  <c:v>60.35331902126434</c:v>
                </c:pt>
                <c:pt idx="356">
                  <c:v>60.352356949461161</c:v>
                </c:pt>
                <c:pt idx="357">
                  <c:v>60.351669755316031</c:v>
                </c:pt>
                <c:pt idx="358">
                  <c:v>60.351257438828952</c:v>
                </c:pt>
                <c:pt idx="359">
                  <c:v>60.351119999999923</c:v>
                </c:pt>
                <c:pt idx="360">
                  <c:v>60.351119999999923</c:v>
                </c:pt>
                <c:pt idx="361">
                  <c:v>60.351119999999923</c:v>
                </c:pt>
                <c:pt idx="362">
                  <c:v>60.351119999999923</c:v>
                </c:pt>
                <c:pt idx="363">
                  <c:v>60.351119999999923</c:v>
                </c:pt>
                <c:pt idx="364">
                  <c:v>60.351119999999923</c:v>
                </c:pt>
                <c:pt idx="365">
                  <c:v>60.351119999999923</c:v>
                </c:pt>
                <c:pt idx="366">
                  <c:v>60.351119999999923</c:v>
                </c:pt>
                <c:pt idx="367">
                  <c:v>60.351119999999923</c:v>
                </c:pt>
                <c:pt idx="368">
                  <c:v>60.351119999999923</c:v>
                </c:pt>
                <c:pt idx="369">
                  <c:v>60.351119999999923</c:v>
                </c:pt>
                <c:pt idx="370">
                  <c:v>60.351119999999923</c:v>
                </c:pt>
                <c:pt idx="371">
                  <c:v>60.351119999999923</c:v>
                </c:pt>
                <c:pt idx="372">
                  <c:v>60.351119999999923</c:v>
                </c:pt>
                <c:pt idx="373">
                  <c:v>60.351119999999923</c:v>
                </c:pt>
                <c:pt idx="374">
                  <c:v>60.351119999999923</c:v>
                </c:pt>
                <c:pt idx="375">
                  <c:v>60.351119999999923</c:v>
                </c:pt>
                <c:pt idx="376">
                  <c:v>60.351119999999923</c:v>
                </c:pt>
                <c:pt idx="377">
                  <c:v>60.351119999999923</c:v>
                </c:pt>
                <c:pt idx="378">
                  <c:v>60.351119999999923</c:v>
                </c:pt>
                <c:pt idx="379">
                  <c:v>60.351119999999923</c:v>
                </c:pt>
                <c:pt idx="380">
                  <c:v>60.351119999999923</c:v>
                </c:pt>
                <c:pt idx="381">
                  <c:v>60.351119999999923</c:v>
                </c:pt>
                <c:pt idx="382">
                  <c:v>60.351119999999923</c:v>
                </c:pt>
                <c:pt idx="383">
                  <c:v>60.351119999999923</c:v>
                </c:pt>
                <c:pt idx="384">
                  <c:v>60.351119999999923</c:v>
                </c:pt>
                <c:pt idx="385">
                  <c:v>60.351119999999923</c:v>
                </c:pt>
                <c:pt idx="386">
                  <c:v>60.351119999999923</c:v>
                </c:pt>
                <c:pt idx="387">
                  <c:v>60.351119999999923</c:v>
                </c:pt>
                <c:pt idx="388">
                  <c:v>60.351119999999923</c:v>
                </c:pt>
                <c:pt idx="389">
                  <c:v>60.351119999999923</c:v>
                </c:pt>
                <c:pt idx="390">
                  <c:v>60.351119999999923</c:v>
                </c:pt>
                <c:pt idx="391">
                  <c:v>60.351119999999923</c:v>
                </c:pt>
                <c:pt idx="392">
                  <c:v>60.351119999999923</c:v>
                </c:pt>
                <c:pt idx="393">
                  <c:v>60.351119999999923</c:v>
                </c:pt>
                <c:pt idx="394">
                  <c:v>60.351119999999923</c:v>
                </c:pt>
                <c:pt idx="395">
                  <c:v>60.351119999999923</c:v>
                </c:pt>
                <c:pt idx="396">
                  <c:v>60.351119999999923</c:v>
                </c:pt>
                <c:pt idx="397">
                  <c:v>60.351119999999923</c:v>
                </c:pt>
                <c:pt idx="398">
                  <c:v>60.351119999999923</c:v>
                </c:pt>
                <c:pt idx="399">
                  <c:v>60.351119999999923</c:v>
                </c:pt>
                <c:pt idx="400">
                  <c:v>60.351119999999923</c:v>
                </c:pt>
                <c:pt idx="401">
                  <c:v>60.351119999999923</c:v>
                </c:pt>
                <c:pt idx="402">
                  <c:v>60.351119999999923</c:v>
                </c:pt>
                <c:pt idx="403">
                  <c:v>60.351119999999923</c:v>
                </c:pt>
                <c:pt idx="404">
                  <c:v>60.351119999999923</c:v>
                </c:pt>
                <c:pt idx="405">
                  <c:v>60.351119999999923</c:v>
                </c:pt>
                <c:pt idx="406">
                  <c:v>60.351119999999923</c:v>
                </c:pt>
                <c:pt idx="407">
                  <c:v>60.351119999999923</c:v>
                </c:pt>
                <c:pt idx="408">
                  <c:v>60.351119999999923</c:v>
                </c:pt>
                <c:pt idx="409">
                  <c:v>60.351119999999923</c:v>
                </c:pt>
                <c:pt idx="410">
                  <c:v>60.351119999999923</c:v>
                </c:pt>
                <c:pt idx="411">
                  <c:v>60.351119999999923</c:v>
                </c:pt>
                <c:pt idx="412">
                  <c:v>60.351119999999923</c:v>
                </c:pt>
                <c:pt idx="413">
                  <c:v>60.351119999999923</c:v>
                </c:pt>
                <c:pt idx="414">
                  <c:v>60.351119999999923</c:v>
                </c:pt>
                <c:pt idx="415">
                  <c:v>60.351119999999923</c:v>
                </c:pt>
                <c:pt idx="416">
                  <c:v>60.351119999999923</c:v>
                </c:pt>
                <c:pt idx="417">
                  <c:v>60.351119999999923</c:v>
                </c:pt>
                <c:pt idx="418">
                  <c:v>60.351119999999923</c:v>
                </c:pt>
                <c:pt idx="419">
                  <c:v>60.351119999999923</c:v>
                </c:pt>
                <c:pt idx="420">
                  <c:v>60.351119999999923</c:v>
                </c:pt>
                <c:pt idx="421">
                  <c:v>60.351119999999923</c:v>
                </c:pt>
                <c:pt idx="422">
                  <c:v>60.351119999999923</c:v>
                </c:pt>
                <c:pt idx="423">
                  <c:v>60.351119999999923</c:v>
                </c:pt>
                <c:pt idx="424">
                  <c:v>60.351119999999923</c:v>
                </c:pt>
                <c:pt idx="425">
                  <c:v>60.351119999999923</c:v>
                </c:pt>
                <c:pt idx="426">
                  <c:v>60.351119999999923</c:v>
                </c:pt>
                <c:pt idx="427">
                  <c:v>60.351119999999923</c:v>
                </c:pt>
                <c:pt idx="428">
                  <c:v>60.351119999999923</c:v>
                </c:pt>
                <c:pt idx="429">
                  <c:v>60.351119999999923</c:v>
                </c:pt>
                <c:pt idx="430">
                  <c:v>60.351119999999923</c:v>
                </c:pt>
                <c:pt idx="431">
                  <c:v>60.351119999999923</c:v>
                </c:pt>
                <c:pt idx="432">
                  <c:v>60.351119999999923</c:v>
                </c:pt>
                <c:pt idx="433">
                  <c:v>60.351119999999923</c:v>
                </c:pt>
                <c:pt idx="434">
                  <c:v>60.351119999999923</c:v>
                </c:pt>
                <c:pt idx="435">
                  <c:v>60.351119999999923</c:v>
                </c:pt>
                <c:pt idx="436">
                  <c:v>60.351119999999923</c:v>
                </c:pt>
                <c:pt idx="437">
                  <c:v>60.351119999999923</c:v>
                </c:pt>
                <c:pt idx="438">
                  <c:v>60.351119999999923</c:v>
                </c:pt>
                <c:pt idx="439">
                  <c:v>60.351119999999923</c:v>
                </c:pt>
                <c:pt idx="440">
                  <c:v>60.351119999999923</c:v>
                </c:pt>
                <c:pt idx="441">
                  <c:v>60.351119999999923</c:v>
                </c:pt>
                <c:pt idx="442">
                  <c:v>60.351119999999923</c:v>
                </c:pt>
                <c:pt idx="443">
                  <c:v>60.351119999999923</c:v>
                </c:pt>
                <c:pt idx="444">
                  <c:v>60.351119999999923</c:v>
                </c:pt>
                <c:pt idx="445">
                  <c:v>60.351119999999923</c:v>
                </c:pt>
                <c:pt idx="446">
                  <c:v>60.351119999999923</c:v>
                </c:pt>
                <c:pt idx="447">
                  <c:v>60.351119999999923</c:v>
                </c:pt>
                <c:pt idx="448">
                  <c:v>60.351119999999923</c:v>
                </c:pt>
                <c:pt idx="449">
                  <c:v>60.351119999999923</c:v>
                </c:pt>
                <c:pt idx="450">
                  <c:v>60.351119999999923</c:v>
                </c:pt>
                <c:pt idx="451">
                  <c:v>60.351119999999923</c:v>
                </c:pt>
                <c:pt idx="452">
                  <c:v>60.351119999999923</c:v>
                </c:pt>
                <c:pt idx="453">
                  <c:v>60.351119999999923</c:v>
                </c:pt>
                <c:pt idx="454">
                  <c:v>60.351119999999923</c:v>
                </c:pt>
                <c:pt idx="455">
                  <c:v>60.351119999999923</c:v>
                </c:pt>
                <c:pt idx="456">
                  <c:v>60.351119999999923</c:v>
                </c:pt>
                <c:pt idx="457">
                  <c:v>60.351119999999923</c:v>
                </c:pt>
                <c:pt idx="458">
                  <c:v>60.351119999999923</c:v>
                </c:pt>
                <c:pt idx="459">
                  <c:v>60.351119999999923</c:v>
                </c:pt>
                <c:pt idx="460">
                  <c:v>60.351119999999923</c:v>
                </c:pt>
                <c:pt idx="461">
                  <c:v>60.351119999999923</c:v>
                </c:pt>
                <c:pt idx="462">
                  <c:v>60.351119999999923</c:v>
                </c:pt>
                <c:pt idx="463">
                  <c:v>60.351119999999923</c:v>
                </c:pt>
                <c:pt idx="464">
                  <c:v>60.351119999999923</c:v>
                </c:pt>
                <c:pt idx="465">
                  <c:v>60.351119999999923</c:v>
                </c:pt>
                <c:pt idx="466">
                  <c:v>60.351119999999923</c:v>
                </c:pt>
                <c:pt idx="467">
                  <c:v>60.351119999999923</c:v>
                </c:pt>
                <c:pt idx="468">
                  <c:v>60.351119999999923</c:v>
                </c:pt>
                <c:pt idx="469">
                  <c:v>60.351119999999923</c:v>
                </c:pt>
                <c:pt idx="470">
                  <c:v>60.351119999999923</c:v>
                </c:pt>
                <c:pt idx="471">
                  <c:v>60.351119999999923</c:v>
                </c:pt>
                <c:pt idx="472">
                  <c:v>60.351119999999923</c:v>
                </c:pt>
                <c:pt idx="473">
                  <c:v>60.351119999999923</c:v>
                </c:pt>
                <c:pt idx="474">
                  <c:v>60.351119999999923</c:v>
                </c:pt>
                <c:pt idx="475">
                  <c:v>60.351119999999923</c:v>
                </c:pt>
                <c:pt idx="476">
                  <c:v>60.351119999999923</c:v>
                </c:pt>
                <c:pt idx="477">
                  <c:v>60.351119999999923</c:v>
                </c:pt>
                <c:pt idx="478">
                  <c:v>60.351119999999923</c:v>
                </c:pt>
                <c:pt idx="479">
                  <c:v>60.351119999999923</c:v>
                </c:pt>
                <c:pt idx="480">
                  <c:v>60.351119999999923</c:v>
                </c:pt>
                <c:pt idx="481">
                  <c:v>60.351119999999923</c:v>
                </c:pt>
                <c:pt idx="482">
                  <c:v>60.351119999999923</c:v>
                </c:pt>
                <c:pt idx="483">
                  <c:v>60.351119999999923</c:v>
                </c:pt>
                <c:pt idx="484">
                  <c:v>60.351119999999923</c:v>
                </c:pt>
                <c:pt idx="485">
                  <c:v>60.351119999999923</c:v>
                </c:pt>
                <c:pt idx="486">
                  <c:v>60.351119999999923</c:v>
                </c:pt>
                <c:pt idx="487">
                  <c:v>60.351119999999923</c:v>
                </c:pt>
                <c:pt idx="488">
                  <c:v>60.351119999999923</c:v>
                </c:pt>
                <c:pt idx="489">
                  <c:v>60.351119999999923</c:v>
                </c:pt>
                <c:pt idx="490">
                  <c:v>60.351119999999923</c:v>
                </c:pt>
                <c:pt idx="491">
                  <c:v>60.351119999999923</c:v>
                </c:pt>
                <c:pt idx="492">
                  <c:v>60.351119999999923</c:v>
                </c:pt>
                <c:pt idx="493">
                  <c:v>60.351119999999923</c:v>
                </c:pt>
                <c:pt idx="494">
                  <c:v>60.351119999999923</c:v>
                </c:pt>
                <c:pt idx="495">
                  <c:v>60.351119999999923</c:v>
                </c:pt>
                <c:pt idx="496">
                  <c:v>60.351119999999923</c:v>
                </c:pt>
                <c:pt idx="497">
                  <c:v>60.351119999999923</c:v>
                </c:pt>
                <c:pt idx="498">
                  <c:v>60.351119999999923</c:v>
                </c:pt>
                <c:pt idx="499">
                  <c:v>60.351119999999923</c:v>
                </c:pt>
                <c:pt idx="500">
                  <c:v>60.351119999999923</c:v>
                </c:pt>
                <c:pt idx="501">
                  <c:v>60.351119999999923</c:v>
                </c:pt>
                <c:pt idx="502">
                  <c:v>60.351119999999923</c:v>
                </c:pt>
                <c:pt idx="503">
                  <c:v>60.351119999999923</c:v>
                </c:pt>
                <c:pt idx="504">
                  <c:v>60.351119999999923</c:v>
                </c:pt>
                <c:pt idx="505">
                  <c:v>60.351119999999923</c:v>
                </c:pt>
                <c:pt idx="506">
                  <c:v>60.351119999999923</c:v>
                </c:pt>
                <c:pt idx="507">
                  <c:v>60.351119999999923</c:v>
                </c:pt>
                <c:pt idx="508">
                  <c:v>60.351119999999923</c:v>
                </c:pt>
                <c:pt idx="509">
                  <c:v>60.351119999999923</c:v>
                </c:pt>
                <c:pt idx="510">
                  <c:v>60.351119999999923</c:v>
                </c:pt>
                <c:pt idx="511">
                  <c:v>60.351119999999923</c:v>
                </c:pt>
                <c:pt idx="512">
                  <c:v>60.351119999999923</c:v>
                </c:pt>
                <c:pt idx="513">
                  <c:v>60.351119999999923</c:v>
                </c:pt>
                <c:pt idx="514">
                  <c:v>60.351119999999923</c:v>
                </c:pt>
                <c:pt idx="515">
                  <c:v>60.351119999999923</c:v>
                </c:pt>
                <c:pt idx="516">
                  <c:v>60.351119999999923</c:v>
                </c:pt>
                <c:pt idx="517">
                  <c:v>60.351119999999923</c:v>
                </c:pt>
                <c:pt idx="518">
                  <c:v>60.351119999999923</c:v>
                </c:pt>
                <c:pt idx="519">
                  <c:v>60.351119999999923</c:v>
                </c:pt>
                <c:pt idx="520">
                  <c:v>60.351119999999923</c:v>
                </c:pt>
                <c:pt idx="521">
                  <c:v>60.351119999999923</c:v>
                </c:pt>
                <c:pt idx="522">
                  <c:v>60.351119999999923</c:v>
                </c:pt>
                <c:pt idx="523">
                  <c:v>60.351119999999923</c:v>
                </c:pt>
                <c:pt idx="524">
                  <c:v>60.351119999999923</c:v>
                </c:pt>
                <c:pt idx="525">
                  <c:v>60.351119999999923</c:v>
                </c:pt>
                <c:pt idx="526">
                  <c:v>60.351119999999923</c:v>
                </c:pt>
                <c:pt idx="527">
                  <c:v>60.351119999999923</c:v>
                </c:pt>
                <c:pt idx="528">
                  <c:v>60.351119999999923</c:v>
                </c:pt>
                <c:pt idx="529">
                  <c:v>60.351119999999923</c:v>
                </c:pt>
                <c:pt idx="530">
                  <c:v>60.351119999999923</c:v>
                </c:pt>
                <c:pt idx="531">
                  <c:v>60.351119999999923</c:v>
                </c:pt>
                <c:pt idx="532">
                  <c:v>60.351119999999923</c:v>
                </c:pt>
                <c:pt idx="533">
                  <c:v>60.351119999999923</c:v>
                </c:pt>
                <c:pt idx="534">
                  <c:v>60.351119999999923</c:v>
                </c:pt>
                <c:pt idx="535">
                  <c:v>60.351119999999923</c:v>
                </c:pt>
                <c:pt idx="536">
                  <c:v>60.351119999999923</c:v>
                </c:pt>
                <c:pt idx="537">
                  <c:v>60.351119999999923</c:v>
                </c:pt>
                <c:pt idx="538">
                  <c:v>60.351119999999923</c:v>
                </c:pt>
                <c:pt idx="539">
                  <c:v>60.351119999999923</c:v>
                </c:pt>
                <c:pt idx="540">
                  <c:v>60.351119999999923</c:v>
                </c:pt>
                <c:pt idx="541">
                  <c:v>60.351119999999923</c:v>
                </c:pt>
                <c:pt idx="542">
                  <c:v>60.351119999999923</c:v>
                </c:pt>
                <c:pt idx="543">
                  <c:v>60.351119999999923</c:v>
                </c:pt>
                <c:pt idx="544">
                  <c:v>60.351119999999923</c:v>
                </c:pt>
                <c:pt idx="545">
                  <c:v>60.351119999999923</c:v>
                </c:pt>
                <c:pt idx="546">
                  <c:v>60.351119999999923</c:v>
                </c:pt>
                <c:pt idx="547">
                  <c:v>60.351119999999923</c:v>
                </c:pt>
                <c:pt idx="548">
                  <c:v>60.351119999999923</c:v>
                </c:pt>
                <c:pt idx="549">
                  <c:v>60.351119999999923</c:v>
                </c:pt>
                <c:pt idx="550">
                  <c:v>60.351119999999923</c:v>
                </c:pt>
                <c:pt idx="551">
                  <c:v>60.351119999999923</c:v>
                </c:pt>
                <c:pt idx="552">
                  <c:v>60.351119999999923</c:v>
                </c:pt>
                <c:pt idx="553">
                  <c:v>60.351119999999923</c:v>
                </c:pt>
                <c:pt idx="554">
                  <c:v>60.351119999999923</c:v>
                </c:pt>
                <c:pt idx="555">
                  <c:v>60.351119999999923</c:v>
                </c:pt>
                <c:pt idx="556">
                  <c:v>60.351119999999923</c:v>
                </c:pt>
                <c:pt idx="557">
                  <c:v>60.351119999999923</c:v>
                </c:pt>
                <c:pt idx="558">
                  <c:v>60.351119999999923</c:v>
                </c:pt>
                <c:pt idx="559">
                  <c:v>60.351119999999923</c:v>
                </c:pt>
                <c:pt idx="560">
                  <c:v>60.351119999999923</c:v>
                </c:pt>
                <c:pt idx="561">
                  <c:v>60.351119999999923</c:v>
                </c:pt>
                <c:pt idx="562">
                  <c:v>60.351119999999923</c:v>
                </c:pt>
                <c:pt idx="563">
                  <c:v>60.351119999999923</c:v>
                </c:pt>
                <c:pt idx="564">
                  <c:v>60.351119999999923</c:v>
                </c:pt>
                <c:pt idx="565">
                  <c:v>60.351119999999923</c:v>
                </c:pt>
                <c:pt idx="566">
                  <c:v>60.351119999999923</c:v>
                </c:pt>
                <c:pt idx="567">
                  <c:v>60.351119999999923</c:v>
                </c:pt>
                <c:pt idx="568">
                  <c:v>60.351119999999923</c:v>
                </c:pt>
                <c:pt idx="569">
                  <c:v>60.351119999999923</c:v>
                </c:pt>
                <c:pt idx="570">
                  <c:v>60.351119999999923</c:v>
                </c:pt>
                <c:pt idx="571">
                  <c:v>60.351119999999923</c:v>
                </c:pt>
                <c:pt idx="572">
                  <c:v>60.351119999999923</c:v>
                </c:pt>
                <c:pt idx="573">
                  <c:v>60.351119999999923</c:v>
                </c:pt>
                <c:pt idx="574">
                  <c:v>60.351119999999923</c:v>
                </c:pt>
                <c:pt idx="575">
                  <c:v>60.351119999999923</c:v>
                </c:pt>
                <c:pt idx="576">
                  <c:v>60.351119999999923</c:v>
                </c:pt>
                <c:pt idx="577">
                  <c:v>60.351119999999923</c:v>
                </c:pt>
                <c:pt idx="578">
                  <c:v>60.351119999999923</c:v>
                </c:pt>
                <c:pt idx="579">
                  <c:v>60.351119999999923</c:v>
                </c:pt>
                <c:pt idx="580">
                  <c:v>60.351119999999923</c:v>
                </c:pt>
                <c:pt idx="581">
                  <c:v>60.351119999999923</c:v>
                </c:pt>
                <c:pt idx="582">
                  <c:v>60.351119999999923</c:v>
                </c:pt>
                <c:pt idx="583">
                  <c:v>60.351119999999923</c:v>
                </c:pt>
                <c:pt idx="584">
                  <c:v>60.351119999999923</c:v>
                </c:pt>
                <c:pt idx="585">
                  <c:v>60.351119999999923</c:v>
                </c:pt>
                <c:pt idx="586">
                  <c:v>60.351119999999923</c:v>
                </c:pt>
                <c:pt idx="587">
                  <c:v>60.351119999999923</c:v>
                </c:pt>
                <c:pt idx="588">
                  <c:v>60.351119999999923</c:v>
                </c:pt>
                <c:pt idx="589">
                  <c:v>60.351119999999923</c:v>
                </c:pt>
                <c:pt idx="590">
                  <c:v>60.351119999999923</c:v>
                </c:pt>
                <c:pt idx="591">
                  <c:v>60.351119999999923</c:v>
                </c:pt>
                <c:pt idx="592">
                  <c:v>60.351119999999923</c:v>
                </c:pt>
                <c:pt idx="593">
                  <c:v>60.351119999999923</c:v>
                </c:pt>
                <c:pt idx="594">
                  <c:v>60.351119999999923</c:v>
                </c:pt>
                <c:pt idx="595">
                  <c:v>60.351119999999923</c:v>
                </c:pt>
                <c:pt idx="596">
                  <c:v>60.351119999999923</c:v>
                </c:pt>
                <c:pt idx="597">
                  <c:v>60.351119999999923</c:v>
                </c:pt>
                <c:pt idx="598">
                  <c:v>60.351119999999923</c:v>
                </c:pt>
                <c:pt idx="599">
                  <c:v>60.351119999999923</c:v>
                </c:pt>
                <c:pt idx="600">
                  <c:v>60.351119999999923</c:v>
                </c:pt>
                <c:pt idx="601">
                  <c:v>60.351119999999923</c:v>
                </c:pt>
                <c:pt idx="602">
                  <c:v>60.351119999999923</c:v>
                </c:pt>
                <c:pt idx="603">
                  <c:v>60.351119999999923</c:v>
                </c:pt>
                <c:pt idx="604">
                  <c:v>60.351119999999923</c:v>
                </c:pt>
                <c:pt idx="605">
                  <c:v>60.351119999999923</c:v>
                </c:pt>
                <c:pt idx="606">
                  <c:v>60.351119999999923</c:v>
                </c:pt>
                <c:pt idx="607">
                  <c:v>60.351119999999923</c:v>
                </c:pt>
                <c:pt idx="608">
                  <c:v>60.351119999999923</c:v>
                </c:pt>
                <c:pt idx="609">
                  <c:v>60.351119999999923</c:v>
                </c:pt>
                <c:pt idx="610">
                  <c:v>60.351119999999923</c:v>
                </c:pt>
                <c:pt idx="611">
                  <c:v>60.351119999999923</c:v>
                </c:pt>
                <c:pt idx="612">
                  <c:v>60.351119999999923</c:v>
                </c:pt>
                <c:pt idx="613">
                  <c:v>60.351119999999923</c:v>
                </c:pt>
                <c:pt idx="614">
                  <c:v>60.351119999999923</c:v>
                </c:pt>
                <c:pt idx="615">
                  <c:v>60.351119999999923</c:v>
                </c:pt>
                <c:pt idx="616">
                  <c:v>60.351119999999923</c:v>
                </c:pt>
                <c:pt idx="617">
                  <c:v>60.351119999999923</c:v>
                </c:pt>
                <c:pt idx="618">
                  <c:v>60.351119999999923</c:v>
                </c:pt>
                <c:pt idx="619">
                  <c:v>60.351119999999923</c:v>
                </c:pt>
                <c:pt idx="620">
                  <c:v>60.351119999999923</c:v>
                </c:pt>
                <c:pt idx="621">
                  <c:v>60.351119999999923</c:v>
                </c:pt>
                <c:pt idx="622">
                  <c:v>60.351119999999923</c:v>
                </c:pt>
                <c:pt idx="623">
                  <c:v>60.351119999999923</c:v>
                </c:pt>
                <c:pt idx="624">
                  <c:v>60.351119999999923</c:v>
                </c:pt>
                <c:pt idx="625">
                  <c:v>60.351119999999923</c:v>
                </c:pt>
                <c:pt idx="626">
                  <c:v>60.351119999999923</c:v>
                </c:pt>
                <c:pt idx="627">
                  <c:v>60.351119999999923</c:v>
                </c:pt>
                <c:pt idx="628">
                  <c:v>60.351119999999923</c:v>
                </c:pt>
                <c:pt idx="629">
                  <c:v>60.351119999999923</c:v>
                </c:pt>
                <c:pt idx="630">
                  <c:v>60.351119999999923</c:v>
                </c:pt>
                <c:pt idx="631">
                  <c:v>60.351119999999923</c:v>
                </c:pt>
                <c:pt idx="632">
                  <c:v>60.351119999999923</c:v>
                </c:pt>
                <c:pt idx="633">
                  <c:v>60.351119999999923</c:v>
                </c:pt>
                <c:pt idx="634">
                  <c:v>60.351119999999923</c:v>
                </c:pt>
                <c:pt idx="635">
                  <c:v>60.351119999999923</c:v>
                </c:pt>
                <c:pt idx="636">
                  <c:v>60.351119999999923</c:v>
                </c:pt>
                <c:pt idx="637">
                  <c:v>60.351119999999923</c:v>
                </c:pt>
                <c:pt idx="638">
                  <c:v>60.351119999999923</c:v>
                </c:pt>
                <c:pt idx="639">
                  <c:v>60.351119999999923</c:v>
                </c:pt>
                <c:pt idx="640">
                  <c:v>60.351119999999923</c:v>
                </c:pt>
                <c:pt idx="641">
                  <c:v>60.351119999999923</c:v>
                </c:pt>
                <c:pt idx="642">
                  <c:v>60.351119999999923</c:v>
                </c:pt>
                <c:pt idx="643">
                  <c:v>60.351119999999923</c:v>
                </c:pt>
                <c:pt idx="644">
                  <c:v>60.351119999999923</c:v>
                </c:pt>
                <c:pt idx="645">
                  <c:v>60.351119999999923</c:v>
                </c:pt>
                <c:pt idx="646">
                  <c:v>60.351119999999923</c:v>
                </c:pt>
                <c:pt idx="647">
                  <c:v>60.351119999999923</c:v>
                </c:pt>
                <c:pt idx="648">
                  <c:v>60.351119999999923</c:v>
                </c:pt>
                <c:pt idx="649">
                  <c:v>60.351119999999923</c:v>
                </c:pt>
                <c:pt idx="650">
                  <c:v>60.351119999999923</c:v>
                </c:pt>
                <c:pt idx="651">
                  <c:v>60.351119999999923</c:v>
                </c:pt>
                <c:pt idx="652">
                  <c:v>60.351119999999923</c:v>
                </c:pt>
                <c:pt idx="653">
                  <c:v>60.351119999999923</c:v>
                </c:pt>
                <c:pt idx="654">
                  <c:v>60.351119999999923</c:v>
                </c:pt>
                <c:pt idx="655">
                  <c:v>60.351119999999923</c:v>
                </c:pt>
                <c:pt idx="656">
                  <c:v>60.351119999999923</c:v>
                </c:pt>
                <c:pt idx="657">
                  <c:v>60.351119999999923</c:v>
                </c:pt>
                <c:pt idx="658">
                  <c:v>60.351119999999923</c:v>
                </c:pt>
                <c:pt idx="659">
                  <c:v>60.351119999999923</c:v>
                </c:pt>
                <c:pt idx="660">
                  <c:v>60.351119999999923</c:v>
                </c:pt>
                <c:pt idx="661">
                  <c:v>60.351119999999923</c:v>
                </c:pt>
                <c:pt idx="662">
                  <c:v>60.351119999999923</c:v>
                </c:pt>
                <c:pt idx="663">
                  <c:v>60.351119999999923</c:v>
                </c:pt>
                <c:pt idx="664">
                  <c:v>60.351119999999923</c:v>
                </c:pt>
                <c:pt idx="665">
                  <c:v>60.351119999999923</c:v>
                </c:pt>
                <c:pt idx="666">
                  <c:v>60.351119999999923</c:v>
                </c:pt>
                <c:pt idx="667">
                  <c:v>60.351119999999923</c:v>
                </c:pt>
                <c:pt idx="668">
                  <c:v>60.351119999999923</c:v>
                </c:pt>
                <c:pt idx="669">
                  <c:v>60.351119999999923</c:v>
                </c:pt>
                <c:pt idx="670">
                  <c:v>60.351119999999923</c:v>
                </c:pt>
                <c:pt idx="671">
                  <c:v>60.351119999999923</c:v>
                </c:pt>
                <c:pt idx="672">
                  <c:v>60.351119999999923</c:v>
                </c:pt>
                <c:pt idx="673">
                  <c:v>60.351119999999923</c:v>
                </c:pt>
                <c:pt idx="674">
                  <c:v>60.351119999999923</c:v>
                </c:pt>
                <c:pt idx="675">
                  <c:v>60.351119999999923</c:v>
                </c:pt>
                <c:pt idx="676">
                  <c:v>60.351119999999923</c:v>
                </c:pt>
                <c:pt idx="677">
                  <c:v>60.351119999999923</c:v>
                </c:pt>
                <c:pt idx="678">
                  <c:v>60.351119999999923</c:v>
                </c:pt>
                <c:pt idx="679">
                  <c:v>60.351119999999923</c:v>
                </c:pt>
                <c:pt idx="680">
                  <c:v>60.351119999999923</c:v>
                </c:pt>
                <c:pt idx="681">
                  <c:v>60.351119999999923</c:v>
                </c:pt>
                <c:pt idx="682">
                  <c:v>60.351119999999923</c:v>
                </c:pt>
                <c:pt idx="683">
                  <c:v>60.351119999999923</c:v>
                </c:pt>
                <c:pt idx="684">
                  <c:v>60.351119999999923</c:v>
                </c:pt>
                <c:pt idx="685">
                  <c:v>60.351119999999923</c:v>
                </c:pt>
                <c:pt idx="686">
                  <c:v>60.351119999999923</c:v>
                </c:pt>
                <c:pt idx="687">
                  <c:v>60.351119999999923</c:v>
                </c:pt>
                <c:pt idx="688">
                  <c:v>60.351119999999923</c:v>
                </c:pt>
                <c:pt idx="689">
                  <c:v>60.351119999999923</c:v>
                </c:pt>
                <c:pt idx="690">
                  <c:v>60.351119999999923</c:v>
                </c:pt>
                <c:pt idx="691">
                  <c:v>60.351119999999923</c:v>
                </c:pt>
                <c:pt idx="692">
                  <c:v>60.351119999999923</c:v>
                </c:pt>
                <c:pt idx="693">
                  <c:v>60.351119999999923</c:v>
                </c:pt>
                <c:pt idx="694">
                  <c:v>60.351119999999923</c:v>
                </c:pt>
                <c:pt idx="695">
                  <c:v>60.351119999999923</c:v>
                </c:pt>
                <c:pt idx="696">
                  <c:v>60.351119999999923</c:v>
                </c:pt>
                <c:pt idx="697">
                  <c:v>60.351119999999923</c:v>
                </c:pt>
                <c:pt idx="698">
                  <c:v>60.351119999999923</c:v>
                </c:pt>
                <c:pt idx="699">
                  <c:v>60.351119999999923</c:v>
                </c:pt>
                <c:pt idx="700">
                  <c:v>60.351119999999923</c:v>
                </c:pt>
                <c:pt idx="701">
                  <c:v>60.351119999999923</c:v>
                </c:pt>
                <c:pt idx="702">
                  <c:v>60.351119999999923</c:v>
                </c:pt>
                <c:pt idx="703">
                  <c:v>60.351119999999923</c:v>
                </c:pt>
                <c:pt idx="704">
                  <c:v>60.351119999999923</c:v>
                </c:pt>
                <c:pt idx="705">
                  <c:v>60.351119999999923</c:v>
                </c:pt>
                <c:pt idx="706">
                  <c:v>60.351119999999923</c:v>
                </c:pt>
                <c:pt idx="707">
                  <c:v>60.351119999999923</c:v>
                </c:pt>
                <c:pt idx="708">
                  <c:v>60.351119999999923</c:v>
                </c:pt>
                <c:pt idx="709">
                  <c:v>60.351119999999923</c:v>
                </c:pt>
                <c:pt idx="710">
                  <c:v>60.351119999999923</c:v>
                </c:pt>
                <c:pt idx="711">
                  <c:v>60.351119999999923</c:v>
                </c:pt>
                <c:pt idx="712">
                  <c:v>60.351119999999923</c:v>
                </c:pt>
                <c:pt idx="713">
                  <c:v>60.351119999999923</c:v>
                </c:pt>
                <c:pt idx="714">
                  <c:v>60.351119999999923</c:v>
                </c:pt>
                <c:pt idx="715">
                  <c:v>60.351119999999923</c:v>
                </c:pt>
                <c:pt idx="716">
                  <c:v>60.351119999999923</c:v>
                </c:pt>
                <c:pt idx="717">
                  <c:v>60.351119999999923</c:v>
                </c:pt>
                <c:pt idx="718">
                  <c:v>60.351119999999923</c:v>
                </c:pt>
                <c:pt idx="719">
                  <c:v>60.351119999999923</c:v>
                </c:pt>
                <c:pt idx="720">
                  <c:v>60.351119999999923</c:v>
                </c:pt>
                <c:pt idx="721">
                  <c:v>60.351119999999923</c:v>
                </c:pt>
                <c:pt idx="722">
                  <c:v>60.351119999999923</c:v>
                </c:pt>
                <c:pt idx="723">
                  <c:v>60.351119999999923</c:v>
                </c:pt>
                <c:pt idx="724">
                  <c:v>60.351119999999923</c:v>
                </c:pt>
                <c:pt idx="725">
                  <c:v>60.351119999999923</c:v>
                </c:pt>
                <c:pt idx="726">
                  <c:v>60.351119999999923</c:v>
                </c:pt>
                <c:pt idx="727">
                  <c:v>60.351119999999923</c:v>
                </c:pt>
                <c:pt idx="728">
                  <c:v>60.351119999999923</c:v>
                </c:pt>
                <c:pt idx="729">
                  <c:v>60.351119999999923</c:v>
                </c:pt>
                <c:pt idx="730">
                  <c:v>60.351119999999923</c:v>
                </c:pt>
                <c:pt idx="731">
                  <c:v>60.351119999999923</c:v>
                </c:pt>
                <c:pt idx="732">
                  <c:v>60.351119999999923</c:v>
                </c:pt>
                <c:pt idx="733">
                  <c:v>60.351119999999923</c:v>
                </c:pt>
                <c:pt idx="734">
                  <c:v>60.351119999999923</c:v>
                </c:pt>
                <c:pt idx="735">
                  <c:v>60.351119999999923</c:v>
                </c:pt>
                <c:pt idx="736">
                  <c:v>60.351119999999923</c:v>
                </c:pt>
                <c:pt idx="737">
                  <c:v>60.351119999999923</c:v>
                </c:pt>
                <c:pt idx="738">
                  <c:v>60.351119999999923</c:v>
                </c:pt>
                <c:pt idx="739">
                  <c:v>60.351119999999923</c:v>
                </c:pt>
                <c:pt idx="740">
                  <c:v>60.351119999999923</c:v>
                </c:pt>
                <c:pt idx="741">
                  <c:v>60.351119999999923</c:v>
                </c:pt>
                <c:pt idx="742">
                  <c:v>60.351119999999923</c:v>
                </c:pt>
                <c:pt idx="743">
                  <c:v>60.351119999999923</c:v>
                </c:pt>
                <c:pt idx="744">
                  <c:v>60.351119999999923</c:v>
                </c:pt>
                <c:pt idx="745">
                  <c:v>60.351119999999923</c:v>
                </c:pt>
                <c:pt idx="746">
                  <c:v>60.351119999999923</c:v>
                </c:pt>
                <c:pt idx="747">
                  <c:v>60.351119999999923</c:v>
                </c:pt>
                <c:pt idx="748">
                  <c:v>60.351119999999923</c:v>
                </c:pt>
                <c:pt idx="749">
                  <c:v>60.351119999999923</c:v>
                </c:pt>
                <c:pt idx="750">
                  <c:v>60.351119999999923</c:v>
                </c:pt>
                <c:pt idx="751">
                  <c:v>60.351119999999923</c:v>
                </c:pt>
                <c:pt idx="752">
                  <c:v>60.351119999999923</c:v>
                </c:pt>
                <c:pt idx="753">
                  <c:v>60.351119999999923</c:v>
                </c:pt>
                <c:pt idx="754">
                  <c:v>60.351119999999923</c:v>
                </c:pt>
                <c:pt idx="755">
                  <c:v>60.351119999999923</c:v>
                </c:pt>
                <c:pt idx="756">
                  <c:v>60.351119999999923</c:v>
                </c:pt>
                <c:pt idx="757">
                  <c:v>60.351119999999923</c:v>
                </c:pt>
                <c:pt idx="758">
                  <c:v>60.351119999999923</c:v>
                </c:pt>
                <c:pt idx="759">
                  <c:v>60.351119999999923</c:v>
                </c:pt>
                <c:pt idx="760">
                  <c:v>60.351119999999923</c:v>
                </c:pt>
                <c:pt idx="761">
                  <c:v>60.351119999999923</c:v>
                </c:pt>
                <c:pt idx="762">
                  <c:v>60.351119999999923</c:v>
                </c:pt>
                <c:pt idx="763">
                  <c:v>60.351119999999923</c:v>
                </c:pt>
                <c:pt idx="764">
                  <c:v>60.351119999999923</c:v>
                </c:pt>
                <c:pt idx="765">
                  <c:v>60.351119999999923</c:v>
                </c:pt>
                <c:pt idx="766">
                  <c:v>60.351119999999923</c:v>
                </c:pt>
                <c:pt idx="767">
                  <c:v>60.351119999999923</c:v>
                </c:pt>
                <c:pt idx="768">
                  <c:v>60.351119999999923</c:v>
                </c:pt>
                <c:pt idx="769">
                  <c:v>60.351119999999923</c:v>
                </c:pt>
                <c:pt idx="770">
                  <c:v>60.351119999999923</c:v>
                </c:pt>
                <c:pt idx="771">
                  <c:v>60.351119999999923</c:v>
                </c:pt>
                <c:pt idx="772">
                  <c:v>60.351119999999923</c:v>
                </c:pt>
                <c:pt idx="773">
                  <c:v>60.351119999999923</c:v>
                </c:pt>
                <c:pt idx="774">
                  <c:v>60.351119999999923</c:v>
                </c:pt>
                <c:pt idx="775">
                  <c:v>60.351119999999923</c:v>
                </c:pt>
                <c:pt idx="776">
                  <c:v>60.351119999999923</c:v>
                </c:pt>
                <c:pt idx="777">
                  <c:v>60.351119999999923</c:v>
                </c:pt>
                <c:pt idx="778">
                  <c:v>60.351119999999923</c:v>
                </c:pt>
                <c:pt idx="779">
                  <c:v>60.351119999999923</c:v>
                </c:pt>
                <c:pt idx="780">
                  <c:v>60.351119999999923</c:v>
                </c:pt>
                <c:pt idx="781">
                  <c:v>60.351119999999923</c:v>
                </c:pt>
                <c:pt idx="782">
                  <c:v>60.351119999999923</c:v>
                </c:pt>
                <c:pt idx="783">
                  <c:v>60.351119999999923</c:v>
                </c:pt>
                <c:pt idx="784">
                  <c:v>60.351119999999923</c:v>
                </c:pt>
                <c:pt idx="785">
                  <c:v>60.351119999999923</c:v>
                </c:pt>
                <c:pt idx="786">
                  <c:v>60.351119999999923</c:v>
                </c:pt>
                <c:pt idx="787">
                  <c:v>60.351119999999923</c:v>
                </c:pt>
                <c:pt idx="788">
                  <c:v>60.351119999999923</c:v>
                </c:pt>
                <c:pt idx="789">
                  <c:v>60.351119999999923</c:v>
                </c:pt>
                <c:pt idx="790">
                  <c:v>60.351119999999923</c:v>
                </c:pt>
                <c:pt idx="791">
                  <c:v>60.351119999999923</c:v>
                </c:pt>
                <c:pt idx="792">
                  <c:v>60.351119999999923</c:v>
                </c:pt>
                <c:pt idx="793">
                  <c:v>60.351119999999923</c:v>
                </c:pt>
                <c:pt idx="794">
                  <c:v>60.351119999999923</c:v>
                </c:pt>
                <c:pt idx="795">
                  <c:v>60.351119999999923</c:v>
                </c:pt>
                <c:pt idx="796">
                  <c:v>60.351119999999923</c:v>
                </c:pt>
                <c:pt idx="797">
                  <c:v>60.351119999999923</c:v>
                </c:pt>
                <c:pt idx="798">
                  <c:v>60.351119999999923</c:v>
                </c:pt>
                <c:pt idx="799">
                  <c:v>60.351119999999923</c:v>
                </c:pt>
                <c:pt idx="800">
                  <c:v>60.351119999999923</c:v>
                </c:pt>
                <c:pt idx="801">
                  <c:v>60.351119999999923</c:v>
                </c:pt>
                <c:pt idx="802">
                  <c:v>60.351119999999923</c:v>
                </c:pt>
                <c:pt idx="803">
                  <c:v>60.351119999999923</c:v>
                </c:pt>
                <c:pt idx="804">
                  <c:v>60.351119999999923</c:v>
                </c:pt>
                <c:pt idx="805">
                  <c:v>60.351119999999923</c:v>
                </c:pt>
                <c:pt idx="806">
                  <c:v>60.351119999999923</c:v>
                </c:pt>
                <c:pt idx="807">
                  <c:v>60.351119999999923</c:v>
                </c:pt>
                <c:pt idx="808">
                  <c:v>60.351119999999923</c:v>
                </c:pt>
                <c:pt idx="809">
                  <c:v>60.351119999999923</c:v>
                </c:pt>
                <c:pt idx="810">
                  <c:v>60.351119999999923</c:v>
                </c:pt>
                <c:pt idx="811">
                  <c:v>60.351119999999923</c:v>
                </c:pt>
                <c:pt idx="812">
                  <c:v>60.351119999999923</c:v>
                </c:pt>
                <c:pt idx="813">
                  <c:v>60.351119999999923</c:v>
                </c:pt>
                <c:pt idx="814">
                  <c:v>60.351119999999923</c:v>
                </c:pt>
                <c:pt idx="815">
                  <c:v>60.351119999999923</c:v>
                </c:pt>
                <c:pt idx="816">
                  <c:v>60.351119999999923</c:v>
                </c:pt>
                <c:pt idx="817">
                  <c:v>60.351119999999923</c:v>
                </c:pt>
                <c:pt idx="818">
                  <c:v>60.351119999999923</c:v>
                </c:pt>
                <c:pt idx="819">
                  <c:v>60.351119999999923</c:v>
                </c:pt>
                <c:pt idx="820">
                  <c:v>60.351119999999923</c:v>
                </c:pt>
                <c:pt idx="821">
                  <c:v>60.351119999999923</c:v>
                </c:pt>
                <c:pt idx="822">
                  <c:v>60.351119999999923</c:v>
                </c:pt>
                <c:pt idx="823">
                  <c:v>60.351119999999923</c:v>
                </c:pt>
                <c:pt idx="824">
                  <c:v>60.351119999999923</c:v>
                </c:pt>
                <c:pt idx="825">
                  <c:v>60.351119999999923</c:v>
                </c:pt>
                <c:pt idx="826">
                  <c:v>60.351119999999923</c:v>
                </c:pt>
                <c:pt idx="827">
                  <c:v>60.351119999999923</c:v>
                </c:pt>
                <c:pt idx="828">
                  <c:v>60.351119999999923</c:v>
                </c:pt>
                <c:pt idx="829">
                  <c:v>60.351119999999923</c:v>
                </c:pt>
                <c:pt idx="830">
                  <c:v>60.351119999999923</c:v>
                </c:pt>
                <c:pt idx="831">
                  <c:v>60.351119999999923</c:v>
                </c:pt>
                <c:pt idx="832">
                  <c:v>60.351119999999923</c:v>
                </c:pt>
                <c:pt idx="833">
                  <c:v>60.351119999999923</c:v>
                </c:pt>
                <c:pt idx="834">
                  <c:v>60.351119999999923</c:v>
                </c:pt>
                <c:pt idx="835">
                  <c:v>60.351119999999923</c:v>
                </c:pt>
                <c:pt idx="836">
                  <c:v>60.351119999999923</c:v>
                </c:pt>
                <c:pt idx="837">
                  <c:v>60.351119999999923</c:v>
                </c:pt>
                <c:pt idx="838">
                  <c:v>60.351119999999923</c:v>
                </c:pt>
                <c:pt idx="839">
                  <c:v>60.351119999999923</c:v>
                </c:pt>
                <c:pt idx="840">
                  <c:v>60.351119999999923</c:v>
                </c:pt>
                <c:pt idx="841">
                  <c:v>60.351119999999923</c:v>
                </c:pt>
                <c:pt idx="842">
                  <c:v>60.351119999999923</c:v>
                </c:pt>
                <c:pt idx="843">
                  <c:v>60.351119999999923</c:v>
                </c:pt>
                <c:pt idx="844">
                  <c:v>60.351119999999923</c:v>
                </c:pt>
                <c:pt idx="845">
                  <c:v>60.351119999999923</c:v>
                </c:pt>
                <c:pt idx="846">
                  <c:v>60.351119999999923</c:v>
                </c:pt>
                <c:pt idx="847">
                  <c:v>60.351119999999923</c:v>
                </c:pt>
                <c:pt idx="848">
                  <c:v>60.351119999999923</c:v>
                </c:pt>
                <c:pt idx="849">
                  <c:v>60.351119999999923</c:v>
                </c:pt>
                <c:pt idx="850">
                  <c:v>60.351119999999923</c:v>
                </c:pt>
                <c:pt idx="851">
                  <c:v>60.351119999999923</c:v>
                </c:pt>
                <c:pt idx="852">
                  <c:v>60.351119999999923</c:v>
                </c:pt>
                <c:pt idx="853">
                  <c:v>60.351119999999923</c:v>
                </c:pt>
                <c:pt idx="854">
                  <c:v>60.351119999999923</c:v>
                </c:pt>
                <c:pt idx="855">
                  <c:v>60.351119999999923</c:v>
                </c:pt>
                <c:pt idx="856">
                  <c:v>60.351119999999923</c:v>
                </c:pt>
                <c:pt idx="857">
                  <c:v>60.351119999999923</c:v>
                </c:pt>
                <c:pt idx="858">
                  <c:v>60.351119999999923</c:v>
                </c:pt>
                <c:pt idx="859">
                  <c:v>60.351119999999923</c:v>
                </c:pt>
                <c:pt idx="860">
                  <c:v>60.351119999999923</c:v>
                </c:pt>
                <c:pt idx="861">
                  <c:v>60.351119999999923</c:v>
                </c:pt>
                <c:pt idx="862">
                  <c:v>60.351119999999923</c:v>
                </c:pt>
                <c:pt idx="863">
                  <c:v>60.351119999999923</c:v>
                </c:pt>
                <c:pt idx="864">
                  <c:v>60.351119999999923</c:v>
                </c:pt>
                <c:pt idx="865">
                  <c:v>60.351119999999923</c:v>
                </c:pt>
                <c:pt idx="866">
                  <c:v>60.351119999999923</c:v>
                </c:pt>
                <c:pt idx="867">
                  <c:v>60.351119999999923</c:v>
                </c:pt>
                <c:pt idx="868">
                  <c:v>60.351119999999923</c:v>
                </c:pt>
                <c:pt idx="869">
                  <c:v>60.351119999999923</c:v>
                </c:pt>
                <c:pt idx="870">
                  <c:v>60.351119999999923</c:v>
                </c:pt>
                <c:pt idx="871">
                  <c:v>60.351119999999923</c:v>
                </c:pt>
                <c:pt idx="872">
                  <c:v>60.351119999999923</c:v>
                </c:pt>
                <c:pt idx="873">
                  <c:v>60.351119999999923</c:v>
                </c:pt>
                <c:pt idx="874">
                  <c:v>60.351119999999923</c:v>
                </c:pt>
                <c:pt idx="875">
                  <c:v>60.351119999999923</c:v>
                </c:pt>
                <c:pt idx="876">
                  <c:v>60.351119999999923</c:v>
                </c:pt>
                <c:pt idx="877">
                  <c:v>60.351119999999923</c:v>
                </c:pt>
                <c:pt idx="878">
                  <c:v>60.351119999999923</c:v>
                </c:pt>
                <c:pt idx="879">
                  <c:v>60.351119999999923</c:v>
                </c:pt>
                <c:pt idx="880">
                  <c:v>60.351119999999923</c:v>
                </c:pt>
                <c:pt idx="881">
                  <c:v>60.351119999999923</c:v>
                </c:pt>
                <c:pt idx="882">
                  <c:v>60.351119999999923</c:v>
                </c:pt>
                <c:pt idx="883">
                  <c:v>60.351119999999923</c:v>
                </c:pt>
                <c:pt idx="884">
                  <c:v>60.351119999999923</c:v>
                </c:pt>
                <c:pt idx="885">
                  <c:v>60.351119999999923</c:v>
                </c:pt>
                <c:pt idx="886">
                  <c:v>60.351119999999923</c:v>
                </c:pt>
                <c:pt idx="887">
                  <c:v>60.351119999999923</c:v>
                </c:pt>
                <c:pt idx="888">
                  <c:v>60.351119999999923</c:v>
                </c:pt>
                <c:pt idx="889">
                  <c:v>60.351119999999923</c:v>
                </c:pt>
                <c:pt idx="890">
                  <c:v>60.351119999999923</c:v>
                </c:pt>
                <c:pt idx="891">
                  <c:v>60.351119999999923</c:v>
                </c:pt>
                <c:pt idx="892">
                  <c:v>60.351119999999923</c:v>
                </c:pt>
                <c:pt idx="893">
                  <c:v>60.351119999999923</c:v>
                </c:pt>
                <c:pt idx="894">
                  <c:v>60.351119999999923</c:v>
                </c:pt>
                <c:pt idx="895">
                  <c:v>60.351119999999923</c:v>
                </c:pt>
                <c:pt idx="896">
                  <c:v>60.351119999999923</c:v>
                </c:pt>
                <c:pt idx="897">
                  <c:v>60.351119999999923</c:v>
                </c:pt>
                <c:pt idx="898">
                  <c:v>60.351119999999923</c:v>
                </c:pt>
                <c:pt idx="899">
                  <c:v>60.351119999999923</c:v>
                </c:pt>
                <c:pt idx="900">
                  <c:v>60.351119999999923</c:v>
                </c:pt>
                <c:pt idx="901">
                  <c:v>60.351119999999923</c:v>
                </c:pt>
                <c:pt idx="902">
                  <c:v>60.351119999999923</c:v>
                </c:pt>
                <c:pt idx="903">
                  <c:v>60.351119999999923</c:v>
                </c:pt>
                <c:pt idx="904">
                  <c:v>60.351119999999923</c:v>
                </c:pt>
                <c:pt idx="905">
                  <c:v>60.351119999999923</c:v>
                </c:pt>
                <c:pt idx="906">
                  <c:v>60.351119999999923</c:v>
                </c:pt>
                <c:pt idx="907">
                  <c:v>60.351119999999923</c:v>
                </c:pt>
                <c:pt idx="908">
                  <c:v>60.351119999999923</c:v>
                </c:pt>
                <c:pt idx="909">
                  <c:v>60.351119999999923</c:v>
                </c:pt>
                <c:pt idx="910">
                  <c:v>60.351119999999923</c:v>
                </c:pt>
                <c:pt idx="911">
                  <c:v>60.351119999999923</c:v>
                </c:pt>
                <c:pt idx="912">
                  <c:v>60.351119999999923</c:v>
                </c:pt>
                <c:pt idx="913">
                  <c:v>60.351119999999923</c:v>
                </c:pt>
                <c:pt idx="914">
                  <c:v>60.351119999999923</c:v>
                </c:pt>
                <c:pt idx="915">
                  <c:v>60.351119999999923</c:v>
                </c:pt>
                <c:pt idx="916">
                  <c:v>60.351119999999923</c:v>
                </c:pt>
                <c:pt idx="917">
                  <c:v>60.351119999999923</c:v>
                </c:pt>
                <c:pt idx="918">
                  <c:v>60.351119999999923</c:v>
                </c:pt>
                <c:pt idx="919">
                  <c:v>60.351119999999923</c:v>
                </c:pt>
                <c:pt idx="920">
                  <c:v>60.351119999999923</c:v>
                </c:pt>
                <c:pt idx="921">
                  <c:v>60.351119999999923</c:v>
                </c:pt>
                <c:pt idx="922">
                  <c:v>60.351119999999923</c:v>
                </c:pt>
                <c:pt idx="923">
                  <c:v>60.351119999999923</c:v>
                </c:pt>
                <c:pt idx="924">
                  <c:v>60.351119999999923</c:v>
                </c:pt>
                <c:pt idx="925">
                  <c:v>60.351119999999923</c:v>
                </c:pt>
                <c:pt idx="926">
                  <c:v>60.351119999999923</c:v>
                </c:pt>
                <c:pt idx="927">
                  <c:v>60.351119999999923</c:v>
                </c:pt>
                <c:pt idx="928">
                  <c:v>60.351119999999923</c:v>
                </c:pt>
                <c:pt idx="929">
                  <c:v>60.351119999999923</c:v>
                </c:pt>
                <c:pt idx="930">
                  <c:v>60.351119999999923</c:v>
                </c:pt>
                <c:pt idx="931">
                  <c:v>60.351119999999923</c:v>
                </c:pt>
                <c:pt idx="932">
                  <c:v>60.351119999999923</c:v>
                </c:pt>
                <c:pt idx="933">
                  <c:v>60.351119999999923</c:v>
                </c:pt>
                <c:pt idx="934">
                  <c:v>60.351119999999923</c:v>
                </c:pt>
                <c:pt idx="935">
                  <c:v>60.351119999999923</c:v>
                </c:pt>
                <c:pt idx="936">
                  <c:v>60.351119999999923</c:v>
                </c:pt>
                <c:pt idx="937">
                  <c:v>60.351119999999923</c:v>
                </c:pt>
                <c:pt idx="938">
                  <c:v>60.351119999999923</c:v>
                </c:pt>
                <c:pt idx="939">
                  <c:v>60.351119999999923</c:v>
                </c:pt>
                <c:pt idx="940">
                  <c:v>60.351119999999923</c:v>
                </c:pt>
                <c:pt idx="941">
                  <c:v>60.351119999999923</c:v>
                </c:pt>
                <c:pt idx="942">
                  <c:v>60.351119999999923</c:v>
                </c:pt>
                <c:pt idx="943">
                  <c:v>60.351119999999923</c:v>
                </c:pt>
                <c:pt idx="944">
                  <c:v>60.351119999999923</c:v>
                </c:pt>
                <c:pt idx="945">
                  <c:v>60.351119999999923</c:v>
                </c:pt>
                <c:pt idx="946">
                  <c:v>60.351119999999923</c:v>
                </c:pt>
                <c:pt idx="947">
                  <c:v>60.351119999999923</c:v>
                </c:pt>
                <c:pt idx="948">
                  <c:v>60.351119999999923</c:v>
                </c:pt>
                <c:pt idx="949">
                  <c:v>60.351119999999923</c:v>
                </c:pt>
                <c:pt idx="950">
                  <c:v>60.351119999999923</c:v>
                </c:pt>
                <c:pt idx="951">
                  <c:v>60.351119999999923</c:v>
                </c:pt>
                <c:pt idx="952">
                  <c:v>60.351119999999923</c:v>
                </c:pt>
                <c:pt idx="953">
                  <c:v>60.351119999999923</c:v>
                </c:pt>
                <c:pt idx="954">
                  <c:v>60.351119999999923</c:v>
                </c:pt>
                <c:pt idx="955">
                  <c:v>60.351119999999923</c:v>
                </c:pt>
                <c:pt idx="956">
                  <c:v>60.351119999999923</c:v>
                </c:pt>
                <c:pt idx="957">
                  <c:v>60.351119999999923</c:v>
                </c:pt>
                <c:pt idx="958">
                  <c:v>60.351119999999923</c:v>
                </c:pt>
                <c:pt idx="959">
                  <c:v>60.351119999999923</c:v>
                </c:pt>
                <c:pt idx="960">
                  <c:v>60.351119999999923</c:v>
                </c:pt>
                <c:pt idx="961">
                  <c:v>60.351119999999923</c:v>
                </c:pt>
                <c:pt idx="962">
                  <c:v>60.351119999999923</c:v>
                </c:pt>
                <c:pt idx="963">
                  <c:v>60.351119999999923</c:v>
                </c:pt>
                <c:pt idx="964">
                  <c:v>60.351119999999923</c:v>
                </c:pt>
                <c:pt idx="965">
                  <c:v>60.351119999999923</c:v>
                </c:pt>
                <c:pt idx="966">
                  <c:v>60.351119999999923</c:v>
                </c:pt>
                <c:pt idx="967">
                  <c:v>60.351119999999923</c:v>
                </c:pt>
                <c:pt idx="968">
                  <c:v>60.351119999999923</c:v>
                </c:pt>
                <c:pt idx="969">
                  <c:v>60.351119999999923</c:v>
                </c:pt>
                <c:pt idx="970">
                  <c:v>60.351119999999923</c:v>
                </c:pt>
                <c:pt idx="971">
                  <c:v>60.351119999999923</c:v>
                </c:pt>
                <c:pt idx="972">
                  <c:v>60.351119999999923</c:v>
                </c:pt>
                <c:pt idx="973">
                  <c:v>60.351119999999923</c:v>
                </c:pt>
                <c:pt idx="974">
                  <c:v>60.351119999999923</c:v>
                </c:pt>
                <c:pt idx="975">
                  <c:v>60.351119999999923</c:v>
                </c:pt>
                <c:pt idx="976">
                  <c:v>60.351119999999923</c:v>
                </c:pt>
                <c:pt idx="977">
                  <c:v>60.351119999999923</c:v>
                </c:pt>
                <c:pt idx="978">
                  <c:v>60.351119999999923</c:v>
                </c:pt>
                <c:pt idx="979">
                  <c:v>60.351119999999923</c:v>
                </c:pt>
                <c:pt idx="980">
                  <c:v>60.351119999999923</c:v>
                </c:pt>
                <c:pt idx="981">
                  <c:v>60.351119999999923</c:v>
                </c:pt>
                <c:pt idx="982">
                  <c:v>60.351119999999923</c:v>
                </c:pt>
                <c:pt idx="983">
                  <c:v>60.351119999999923</c:v>
                </c:pt>
                <c:pt idx="984">
                  <c:v>60.351119999999923</c:v>
                </c:pt>
                <c:pt idx="985">
                  <c:v>60.351119999999923</c:v>
                </c:pt>
                <c:pt idx="986">
                  <c:v>60.351119999999923</c:v>
                </c:pt>
                <c:pt idx="987">
                  <c:v>60.351119999999923</c:v>
                </c:pt>
                <c:pt idx="988">
                  <c:v>60.351119999999923</c:v>
                </c:pt>
                <c:pt idx="989">
                  <c:v>60.351119999999923</c:v>
                </c:pt>
                <c:pt idx="990">
                  <c:v>60.351119999999923</c:v>
                </c:pt>
                <c:pt idx="991">
                  <c:v>60.351119999999923</c:v>
                </c:pt>
                <c:pt idx="992">
                  <c:v>60.351119999999923</c:v>
                </c:pt>
                <c:pt idx="993">
                  <c:v>60.351119999999923</c:v>
                </c:pt>
                <c:pt idx="994">
                  <c:v>60.351119999999923</c:v>
                </c:pt>
                <c:pt idx="995">
                  <c:v>60.351119999999923</c:v>
                </c:pt>
                <c:pt idx="996">
                  <c:v>60.351119999999923</c:v>
                </c:pt>
                <c:pt idx="997">
                  <c:v>60.351119999999923</c:v>
                </c:pt>
                <c:pt idx="998">
                  <c:v>60.351119999999923</c:v>
                </c:pt>
                <c:pt idx="999">
                  <c:v>60.351119999999923</c:v>
                </c:pt>
                <c:pt idx="1000">
                  <c:v>60.351119999999923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3-7045-93AD-06357D4BED02}"/>
            </c:ext>
          </c:extLst>
        </c:ser>
        <c:ser>
          <c:idx val="0"/>
          <c:order val="2"/>
          <c:tx>
            <c:strRef>
              <c:f>Courbes!$B$133</c:f>
              <c:strCache>
                <c:ptCount val="1"/>
                <c:pt idx="0">
                  <c:v>Traînée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Calculs!$W$4:$W$1004</c:f>
              <c:numCache>
                <c:formatCode>0.00</c:formatCode>
                <c:ptCount val="1001"/>
                <c:pt idx="0">
                  <c:v>0</c:v>
                </c:pt>
                <c:pt idx="1">
                  <c:v>2.0185783764667367E-6</c:v>
                </c:pt>
                <c:pt idx="2">
                  <c:v>2.6046987472071534E-4</c:v>
                </c:pt>
                <c:pt idx="3">
                  <c:v>1.9504619166871692E-3</c:v>
                </c:pt>
                <c:pt idx="4">
                  <c:v>7.3118931913255681E-3</c:v>
                </c:pt>
                <c:pt idx="5">
                  <c:v>1.9654520481021374E-2</c:v>
                </c:pt>
                <c:pt idx="6">
                  <c:v>4.0601479554368249E-2</c:v>
                </c:pt>
                <c:pt idx="7">
                  <c:v>6.9002665813462941E-2</c:v>
                </c:pt>
                <c:pt idx="8">
                  <c:v>0.10481416991695756</c:v>
                </c:pt>
                <c:pt idx="9">
                  <c:v>0.14799172704662142</c:v>
                </c:pt>
                <c:pt idx="10">
                  <c:v>0.19849072093089995</c:v>
                </c:pt>
                <c:pt idx="11">
                  <c:v>0.25626618790656386</c:v>
                </c:pt>
                <c:pt idx="12">
                  <c:v>0.32127282101778576</c:v>
                </c:pt>
                <c:pt idx="13">
                  <c:v>0.39346497415197629</c:v>
                </c:pt>
                <c:pt idx="14">
                  <c:v>0.47279666621170124</c:v>
                </c:pt>
                <c:pt idx="15">
                  <c:v>0.55922158532200039</c:v>
                </c:pt>
                <c:pt idx="16">
                  <c:v>0.65269309307241641</c:v>
                </c:pt>
                <c:pt idx="17">
                  <c:v>0.75316422879304057</c:v>
                </c:pt>
                <c:pt idx="18">
                  <c:v>0.86058771386387156</c:v>
                </c:pt>
                <c:pt idx="19">
                  <c:v>0.97491595605678083</c:v>
                </c:pt>
                <c:pt idx="20">
                  <c:v>1.0961010539093794</c:v>
                </c:pt>
                <c:pt idx="21">
                  <c:v>1.2240948011300503</c:v>
                </c:pt>
                <c:pt idx="22">
                  <c:v>1.3588486910334405</c:v>
                </c:pt>
                <c:pt idx="23">
                  <c:v>1.5003139210056784</c:v>
                </c:pt>
                <c:pt idx="24">
                  <c:v>1.6484413969985721</c:v>
                </c:pt>
                <c:pt idx="25">
                  <c:v>1.8031817380520736</c:v>
                </c:pt>
                <c:pt idx="26">
                  <c:v>1.9644852808442372</c:v>
                </c:pt>
                <c:pt idx="27">
                  <c:v>2.1323020842679505</c:v>
                </c:pt>
                <c:pt idx="28">
                  <c:v>2.306581934033674</c:v>
                </c:pt>
                <c:pt idx="29">
                  <c:v>2.4872743472974297</c:v>
                </c:pt>
                <c:pt idx="30">
                  <c:v>2.6743285773132914</c:v>
                </c:pt>
                <c:pt idx="31">
                  <c:v>2.8676938211005694</c:v>
                </c:pt>
                <c:pt idx="32">
                  <c:v>3.0673190583902405</c:v>
                </c:pt>
                <c:pt idx="33">
                  <c:v>3.2731528097399143</c:v>
                </c:pt>
                <c:pt idx="34">
                  <c:v>3.4851433496897246</c:v>
                </c:pt>
                <c:pt idx="35">
                  <c:v>3.7032387115749894</c:v>
                </c:pt>
                <c:pt idx="36">
                  <c:v>3.9273866923569312</c:v>
                </c:pt>
                <c:pt idx="37">
                  <c:v>4.1575348574683648</c:v>
                </c:pt>
                <c:pt idx="38">
                  <c:v>4.3936305456740561</c:v>
                </c:pt>
                <c:pt idx="39">
                  <c:v>4.6356208739453768</c:v>
                </c:pt>
                <c:pt idx="40">
                  <c:v>4.8834527423487639</c:v>
                </c:pt>
                <c:pt idx="41">
                  <c:v>5.1370728389475575</c:v>
                </c:pt>
                <c:pt idx="42">
                  <c:v>5.3964276447166561</c:v>
                </c:pt>
                <c:pt idx="43">
                  <c:v>5.6614634384694211</c:v>
                </c:pt>
                <c:pt idx="44">
                  <c:v>5.9321263017962895</c:v>
                </c:pt>
                <c:pt idx="45">
                  <c:v>6.2083621240144264</c:v>
                </c:pt>
                <c:pt idx="46">
                  <c:v>6.4901166071278187</c:v>
                </c:pt>
                <c:pt idx="47">
                  <c:v>6.7773352707971561</c:v>
                </c:pt>
                <c:pt idx="48">
                  <c:v>7.0699634573188099</c:v>
                </c:pt>
                <c:pt idx="49">
                  <c:v>7.3679463366122597</c:v>
                </c:pt>
                <c:pt idx="50">
                  <c:v>7.6712289112152643</c:v>
                </c:pt>
                <c:pt idx="51">
                  <c:v>7.979957552522488</c:v>
                </c:pt>
                <c:pt idx="52">
                  <c:v>8.2942945350393291</c:v>
                </c:pt>
                <c:pt idx="53">
                  <c:v>8.6142083742117759</c:v>
                </c:pt>
                <c:pt idx="54">
                  <c:v>8.9396673549974803</c:v>
                </c:pt>
                <c:pt idx="55">
                  <c:v>9.2706395343175814</c:v>
                </c:pt>
                <c:pt idx="56">
                  <c:v>9.607092743528046</c:v>
                </c:pt>
                <c:pt idx="57">
                  <c:v>9.9489945909104023</c:v>
                </c:pt>
                <c:pt idx="58">
                  <c:v>10.296312464181382</c:v>
                </c:pt>
                <c:pt idx="59">
                  <c:v>10.6490135330213</c:v>
                </c:pt>
                <c:pt idx="60">
                  <c:v>11.007064751620733</c:v>
                </c:pt>
                <c:pt idx="61">
                  <c:v>11.370432861245254</c:v>
                </c:pt>
                <c:pt idx="62">
                  <c:v>11.739084392817805</c:v>
                </c:pt>
                <c:pt idx="63">
                  <c:v>12.112985669518462</c:v>
                </c:pt>
                <c:pt idx="64">
                  <c:v>12.49210280940116</c:v>
                </c:pt>
                <c:pt idx="65">
                  <c:v>12.876401728027094</c:v>
                </c:pt>
                <c:pt idx="66">
                  <c:v>13.265848141114382</c:v>
                </c:pt>
                <c:pt idx="67">
                  <c:v>13.660407567203746</c:v>
                </c:pt>
                <c:pt idx="68">
                  <c:v>14.060045330339673</c:v>
                </c:pt>
                <c:pt idx="69">
                  <c:v>14.464726562766863</c:v>
                </c:pt>
                <c:pt idx="70">
                  <c:v>14.87441620764155</c:v>
                </c:pt>
                <c:pt idx="71">
                  <c:v>15.289079021757274</c:v>
                </c:pt>
                <c:pt idx="72">
                  <c:v>15.708679578284718</c:v>
                </c:pt>
                <c:pt idx="73">
                  <c:v>16.133182269525399</c:v>
                </c:pt>
                <c:pt idx="74">
                  <c:v>16.56255130967865</c:v>
                </c:pt>
                <c:pt idx="75">
                  <c:v>16.996750737621568</c:v>
                </c:pt>
                <c:pt idx="76">
                  <c:v>17.435744419701638</c:v>
                </c:pt>
                <c:pt idx="77">
                  <c:v>17.879496052541537</c:v>
                </c:pt>
                <c:pt idx="78">
                  <c:v>18.327969165855741</c:v>
                </c:pt>
                <c:pt idx="79">
                  <c:v>18.78112712527864</c:v>
                </c:pt>
                <c:pt idx="80">
                  <c:v>19.238933135203663</c:v>
                </c:pt>
                <c:pt idx="81">
                  <c:v>19.701350241633179</c:v>
                </c:pt>
                <c:pt idx="82">
                  <c:v>20.168341335038477</c:v>
                </c:pt>
                <c:pt idx="83">
                  <c:v>20.639869153229867</c:v>
                </c:pt>
                <c:pt idx="84">
                  <c:v>21.115896284236076</c:v>
                </c:pt>
                <c:pt idx="85">
                  <c:v>21.59638516919291</c:v>
                </c:pt>
                <c:pt idx="86">
                  <c:v>22.081298105240467</c:v>
                </c:pt>
                <c:pt idx="87">
                  <c:v>22.570597248428776</c:v>
                </c:pt>
                <c:pt idx="88">
                  <c:v>23.064244616631274</c:v>
                </c:pt>
                <c:pt idx="89">
                  <c:v>23.562202092465835</c:v>
                </c:pt>
                <c:pt idx="90">
                  <c:v>24.06443142622291</c:v>
                </c:pt>
                <c:pt idx="91">
                  <c:v>24.570894238800292</c:v>
                </c:pt>
                <c:pt idx="92">
                  <c:v>25.08155202464442</c:v>
                </c:pt>
                <c:pt idx="93">
                  <c:v>25.596366154697304</c:v>
                </c:pt>
                <c:pt idx="94">
                  <c:v>26.115297879349228</c:v>
                </c:pt>
                <c:pt idx="95">
                  <c:v>26.638308331396395</c:v>
                </c:pt>
                <c:pt idx="96">
                  <c:v>27.165358529003374</c:v>
                </c:pt>
                <c:pt idx="97">
                  <c:v>27.696409378669923</c:v>
                </c:pt>
                <c:pt idx="98">
                  <c:v>28.231421678201503</c:v>
                </c:pt>
                <c:pt idx="99">
                  <c:v>28.770356119683676</c:v>
                </c:pt>
                <c:pt idx="100">
                  <c:v>29.313173292459254</c:v>
                </c:pt>
                <c:pt idx="101">
                  <c:v>29.859653210497925</c:v>
                </c:pt>
                <c:pt idx="102">
                  <c:v>30.409568981342389</c:v>
                </c:pt>
                <c:pt idx="103">
                  <c:v>30.962870814711074</c:v>
                </c:pt>
                <c:pt idx="104">
                  <c:v>31.519508887194252</c:v>
                </c:pt>
                <c:pt idx="105">
                  <c:v>32.079433346160343</c:v>
                </c:pt>
                <c:pt idx="106">
                  <c:v>32.642594313652573</c:v>
                </c:pt>
                <c:pt idx="107">
                  <c:v>33.208941890274993</c:v>
                </c:pt>
                <c:pt idx="108">
                  <c:v>33.778426159067713</c:v>
                </c:pt>
                <c:pt idx="109">
                  <c:v>34.350997189370787</c:v>
                </c:pt>
                <c:pt idx="110">
                  <c:v>34.926605040675888</c:v>
                </c:pt>
                <c:pt idx="111">
                  <c:v>35.505199766465907</c:v>
                </c:pt>
                <c:pt idx="112">
                  <c:v>36.086731418041282</c:v>
                </c:pt>
                <c:pt idx="113">
                  <c:v>36.671150048333317</c:v>
                </c:pt>
                <c:pt idx="114">
                  <c:v>37.258405715703297</c:v>
                </c:pt>
                <c:pt idx="115">
                  <c:v>37.848448487727367</c:v>
                </c:pt>
                <c:pt idx="116">
                  <c:v>38.441228444966526</c:v>
                </c:pt>
                <c:pt idx="117">
                  <c:v>39.03669568472143</c:v>
                </c:pt>
                <c:pt idx="118">
                  <c:v>39.634800324771284</c:v>
                </c:pt>
                <c:pt idx="119">
                  <c:v>40.235492507096509</c:v>
                </c:pt>
                <c:pt idx="120">
                  <c:v>40.83872240158496</c:v>
                </c:pt>
                <c:pt idx="121">
                  <c:v>41.444440209720625</c:v>
                </c:pt>
                <c:pt idx="122">
                  <c:v>42.052596168255086</c:v>
                </c:pt>
                <c:pt idx="123">
                  <c:v>42.663140552860767</c:v>
                </c:pt>
                <c:pt idx="124">
                  <c:v>43.276023681765913</c:v>
                </c:pt>
                <c:pt idx="125">
                  <c:v>43.891195919370503</c:v>
                </c:pt>
                <c:pt idx="126">
                  <c:v>44.508607679842989</c:v>
                </c:pt>
                <c:pt idx="127">
                  <c:v>45.12820943069741</c:v>
                </c:pt>
                <c:pt idx="128">
                  <c:v>45.749951696350081</c:v>
                </c:pt>
                <c:pt idx="129">
                  <c:v>46.373785061656164</c:v>
                </c:pt>
                <c:pt idx="130">
                  <c:v>46.999660175425021</c:v>
                </c:pt>
                <c:pt idx="131">
                  <c:v>47.627527753914414</c:v>
                </c:pt>
                <c:pt idx="132">
                  <c:v>48.257338584302943</c:v>
                </c:pt>
                <c:pt idx="133">
                  <c:v>48.88904352814032</c:v>
                </c:pt>
                <c:pt idx="134">
                  <c:v>49.522593524775523</c:v>
                </c:pt>
                <c:pt idx="135">
                  <c:v>50.15793959476165</c:v>
                </c:pt>
                <c:pt idx="136">
                  <c:v>50.795032843238047</c:v>
                </c:pt>
                <c:pt idx="137">
                  <c:v>51.433824463288595</c:v>
                </c:pt>
                <c:pt idx="138">
                  <c:v>52.074265739276044</c:v>
                </c:pt>
                <c:pt idx="139">
                  <c:v>52.716308050152733</c:v>
                </c:pt>
                <c:pt idx="140">
                  <c:v>53.359902872745913</c:v>
                </c:pt>
                <c:pt idx="141">
                  <c:v>54.005001785018642</c:v>
                </c:pt>
                <c:pt idx="142">
                  <c:v>54.65155646930549</c:v>
                </c:pt>
                <c:pt idx="143">
                  <c:v>55.299518715522488</c:v>
                </c:pt>
                <c:pt idx="144">
                  <c:v>55.948840424351417</c:v>
                </c:pt>
                <c:pt idx="145">
                  <c:v>56.599473610397823</c:v>
                </c:pt>
                <c:pt idx="146">
                  <c:v>57.251370405322554</c:v>
                </c:pt>
                <c:pt idx="147">
                  <c:v>57.904483060946745</c:v>
                </c:pt>
                <c:pt idx="148">
                  <c:v>58.558763952329642</c:v>
                </c:pt>
                <c:pt idx="149">
                  <c:v>59.214165580818964</c:v>
                </c:pt>
                <c:pt idx="150">
                  <c:v>59.870640577074184</c:v>
                </c:pt>
                <c:pt idx="151">
                  <c:v>60.528229342329411</c:v>
                </c:pt>
                <c:pt idx="152">
                  <c:v>61.186974343921953</c:v>
                </c:pt>
                <c:pt idx="153">
                  <c:v>61.846831434294394</c:v>
                </c:pt>
                <c:pt idx="154">
                  <c:v>62.50775657901854</c:v>
                </c:pt>
                <c:pt idx="155">
                  <c:v>63.169705859497135</c:v>
                </c:pt>
                <c:pt idx="156">
                  <c:v>63.832635475641844</c:v>
                </c:pt>
                <c:pt idx="157">
                  <c:v>64.496501748526072</c:v>
                </c:pt>
                <c:pt idx="158">
                  <c:v>65.161261123013347</c:v>
                </c:pt>
                <c:pt idx="159">
                  <c:v>65.826870170360408</c:v>
                </c:pt>
                <c:pt idx="160">
                  <c:v>66.493285590795153</c:v>
                </c:pt>
                <c:pt idx="161">
                  <c:v>67.160464216069101</c:v>
                </c:pt>
                <c:pt idx="162">
                  <c:v>67.828363011984266</c:v>
                </c:pt>
                <c:pt idx="163">
                  <c:v>68.496939080894222</c:v>
                </c:pt>
                <c:pt idx="164">
                  <c:v>69.166149664178945</c:v>
                </c:pt>
                <c:pt idx="165">
                  <c:v>69.835952144693735</c:v>
                </c:pt>
                <c:pt idx="166">
                  <c:v>70.506304049191598</c:v>
                </c:pt>
                <c:pt idx="167">
                  <c:v>71.177163050719159</c:v>
                </c:pt>
                <c:pt idx="168">
                  <c:v>71.848486970985959</c:v>
                </c:pt>
                <c:pt idx="169">
                  <c:v>72.520233782706498</c:v>
                </c:pt>
                <c:pt idx="170">
                  <c:v>73.192361611916041</c:v>
                </c:pt>
                <c:pt idx="171">
                  <c:v>73.86482874025846</c:v>
                </c:pt>
                <c:pt idx="172">
                  <c:v>74.537593607247402</c:v>
                </c:pt>
                <c:pt idx="173">
                  <c:v>75.210614812499628</c:v>
                </c:pt>
                <c:pt idx="174">
                  <c:v>75.883851117941106</c:v>
                </c:pt>
                <c:pt idx="175">
                  <c:v>76.557261449985305</c:v>
                </c:pt>
                <c:pt idx="176">
                  <c:v>77.230804901683726</c:v>
                </c:pt>
                <c:pt idx="177">
                  <c:v>77.904440734848521</c:v>
                </c:pt>
                <c:pt idx="178">
                  <c:v>78.578128382147113</c:v>
                </c:pt>
                <c:pt idx="179">
                  <c:v>79.251827449168843</c:v>
                </c:pt>
                <c:pt idx="180">
                  <c:v>79.925497716463212</c:v>
                </c:pt>
                <c:pt idx="181">
                  <c:v>80.599099141550226</c:v>
                </c:pt>
                <c:pt idx="182">
                  <c:v>81.272591860901798</c:v>
                </c:pt>
                <c:pt idx="183">
                  <c:v>81.945936191895171</c:v>
                </c:pt>
                <c:pt idx="184">
                  <c:v>82.619092634737754</c:v>
                </c:pt>
                <c:pt idx="185">
                  <c:v>83.292021874363371</c:v>
                </c:pt>
                <c:pt idx="186">
                  <c:v>83.96468478229977</c:v>
                </c:pt>
                <c:pt idx="187">
                  <c:v>84.637042418507335</c:v>
                </c:pt>
                <c:pt idx="188">
                  <c:v>85.309056033189563</c:v>
                </c:pt>
                <c:pt idx="189">
                  <c:v>85.980687068574056</c:v>
                </c:pt>
                <c:pt idx="190">
                  <c:v>86.651897160665328</c:v>
                </c:pt>
                <c:pt idx="191">
                  <c:v>87.322648140968369</c:v>
                </c:pt>
                <c:pt idx="192">
                  <c:v>87.992902038183189</c:v>
                </c:pt>
                <c:pt idx="193">
                  <c:v>88.662621079870917</c:v>
                </c:pt>
                <c:pt idx="194">
                  <c:v>89.331767694090615</c:v>
                </c:pt>
                <c:pt idx="195">
                  <c:v>90.000304511007201</c:v>
                </c:pt>
                <c:pt idx="196">
                  <c:v>90.668194364470295</c:v>
                </c:pt>
                <c:pt idx="197">
                  <c:v>91.335400293564476</c:v>
                </c:pt>
                <c:pt idx="198">
                  <c:v>92.001885544130161</c:v>
                </c:pt>
                <c:pt idx="199">
                  <c:v>92.667613570255568</c:v>
                </c:pt>
                <c:pt idx="200">
                  <c:v>93.332548035740189</c:v>
                </c:pt>
                <c:pt idx="201">
                  <c:v>93.996652815528464</c:v>
                </c:pt>
                <c:pt idx="202">
                  <c:v>94.659891997115452</c:v>
                </c:pt>
                <c:pt idx="203">
                  <c:v>95.322229881923107</c:v>
                </c:pt>
                <c:pt idx="204">
                  <c:v>95.983630986647427</c:v>
                </c:pt>
                <c:pt idx="205">
                  <c:v>96.644060044577671</c:v>
                </c:pt>
                <c:pt idx="206">
                  <c:v>97.303482006885758</c:v>
                </c:pt>
                <c:pt idx="207">
                  <c:v>97.961862043887507</c:v>
                </c:pt>
                <c:pt idx="208">
                  <c:v>98.619165546275084</c:v>
                </c:pt>
                <c:pt idx="209">
                  <c:v>99.275358126320654</c:v>
                </c:pt>
                <c:pt idx="210">
                  <c:v>99.930405619051655</c:v>
                </c:pt>
                <c:pt idx="211">
                  <c:v>100.5842740833972</c:v>
                </c:pt>
                <c:pt idx="212">
                  <c:v>101.23692980330642</c:v>
                </c:pt>
                <c:pt idx="213">
                  <c:v>101.88833928883786</c:v>
                </c:pt>
                <c:pt idx="214">
                  <c:v>102.53846927722115</c:v>
                </c:pt>
                <c:pt idx="215">
                  <c:v>103.18728673388998</c:v>
                </c:pt>
                <c:pt idx="216">
                  <c:v>103.83475885348717</c:v>
                </c:pt>
                <c:pt idx="217">
                  <c:v>104.48085306084114</c:v>
                </c:pt>
                <c:pt idx="218">
                  <c:v>105.12553701191517</c:v>
                </c:pt>
                <c:pt idx="219">
                  <c:v>105.76877859472819</c:v>
                </c:pt>
                <c:pt idx="220">
                  <c:v>106.41054593024769</c:v>
                </c:pt>
                <c:pt idx="221">
                  <c:v>107.05080737325542</c:v>
                </c:pt>
                <c:pt idx="222">
                  <c:v>107.68953151318486</c:v>
                </c:pt>
                <c:pt idx="223">
                  <c:v>108.32668717493183</c:v>
                </c:pt>
                <c:pt idx="224">
                  <c:v>108.96224341963701</c:v>
                </c:pt>
                <c:pt idx="225">
                  <c:v>109.59616954544175</c:v>
                </c:pt>
                <c:pt idx="226">
                  <c:v>110.22843508821651</c:v>
                </c:pt>
                <c:pt idx="227">
                  <c:v>110.85900982226224</c:v>
                </c:pt>
                <c:pt idx="228">
                  <c:v>111.48786376098464</c:v>
                </c:pt>
                <c:pt idx="229">
                  <c:v>112.1149671575423</c:v>
                </c:pt>
                <c:pt idx="230">
                  <c:v>112.74029050546731</c:v>
                </c:pt>
                <c:pt idx="231">
                  <c:v>113.36380453926006</c:v>
                </c:pt>
                <c:pt idx="232">
                  <c:v>113.98548023495722</c:v>
                </c:pt>
                <c:pt idx="233">
                  <c:v>114.60528881067387</c:v>
                </c:pt>
                <c:pt idx="234">
                  <c:v>115.22320172711878</c:v>
                </c:pt>
                <c:pt idx="235">
                  <c:v>115.83919068808494</c:v>
                </c:pt>
                <c:pt idx="236">
                  <c:v>116.45322764091323</c:v>
                </c:pt>
                <c:pt idx="237">
                  <c:v>117.06528477693068</c:v>
                </c:pt>
                <c:pt idx="238">
                  <c:v>117.67533453186381</c:v>
                </c:pt>
                <c:pt idx="239">
                  <c:v>118.28334958622575</c:v>
                </c:pt>
                <c:pt idx="240">
                  <c:v>118.88930286567917</c:v>
                </c:pt>
                <c:pt idx="241">
                  <c:v>119.493167541373</c:v>
                </c:pt>
                <c:pt idx="242">
                  <c:v>120.09491703025564</c:v>
                </c:pt>
                <c:pt idx="243">
                  <c:v>120.69452499536241</c:v>
                </c:pt>
                <c:pt idx="244">
                  <c:v>121.291965346079</c:v>
                </c:pt>
                <c:pt idx="245">
                  <c:v>121.88721223838068</c:v>
                </c:pt>
                <c:pt idx="246">
                  <c:v>122.48024007504701</c:v>
                </c:pt>
                <c:pt idx="247">
                  <c:v>123.07102350585282</c:v>
                </c:pt>
                <c:pt idx="248">
                  <c:v>123.6595374277352</c:v>
                </c:pt>
                <c:pt idx="249">
                  <c:v>124.24575698493723</c:v>
                </c:pt>
                <c:pt idx="250">
                  <c:v>124.82965756912772</c:v>
                </c:pt>
                <c:pt idx="251">
                  <c:v>125.41067056434063</c:v>
                </c:pt>
                <c:pt idx="252">
                  <c:v>125.98822306846891</c:v>
                </c:pt>
                <c:pt idx="253">
                  <c:v>126.56228508809939</c:v>
                </c:pt>
                <c:pt idx="254">
                  <c:v>127.13282702486971</c:v>
                </c:pt>
                <c:pt idx="255">
                  <c:v>127.69981967511006</c:v>
                </c:pt>
                <c:pt idx="256">
                  <c:v>128.26323422944697</c:v>
                </c:pt>
                <c:pt idx="257">
                  <c:v>128.82304227237017</c:v>
                </c:pt>
                <c:pt idx="258">
                  <c:v>129.37921578176272</c:v>
                </c:pt>
                <c:pt idx="259">
                  <c:v>129.93172712839436</c:v>
                </c:pt>
                <c:pt idx="260">
                  <c:v>130.48054907537878</c:v>
                </c:pt>
                <c:pt idx="261">
                  <c:v>131.02565477759595</c:v>
                </c:pt>
                <c:pt idx="262">
                  <c:v>131.56701778107848</c:v>
                </c:pt>
                <c:pt idx="263">
                  <c:v>132.10461202236394</c:v>
                </c:pt>
                <c:pt idx="264">
                  <c:v>132.63841182781269</c:v>
                </c:pt>
                <c:pt idx="265">
                  <c:v>133.16839191289188</c:v>
                </c:pt>
                <c:pt idx="266">
                  <c:v>133.69452738142593</c:v>
                </c:pt>
                <c:pt idx="267">
                  <c:v>134.21679372481461</c:v>
                </c:pt>
                <c:pt idx="268">
                  <c:v>134.73516682121803</c:v>
                </c:pt>
                <c:pt idx="269">
                  <c:v>135.24962293470975</c:v>
                </c:pt>
                <c:pt idx="270">
                  <c:v>135.76013871439881</c:v>
                </c:pt>
                <c:pt idx="271">
                  <c:v>136.26669119352005</c:v>
                </c:pt>
                <c:pt idx="272">
                  <c:v>136.76925778849355</c:v>
                </c:pt>
                <c:pt idx="273">
                  <c:v>137.26781629795488</c:v>
                </c:pt>
                <c:pt idx="274">
                  <c:v>137.7623449017544</c:v>
                </c:pt>
                <c:pt idx="275">
                  <c:v>138.25282215992772</c:v>
                </c:pt>
                <c:pt idx="276">
                  <c:v>138.73922701163752</c:v>
                </c:pt>
                <c:pt idx="277">
                  <c:v>139.22153877408635</c:v>
                </c:pt>
                <c:pt idx="278">
                  <c:v>139.6997371414021</c:v>
                </c:pt>
                <c:pt idx="279">
                  <c:v>140.17380218349524</c:v>
                </c:pt>
                <c:pt idx="280">
                  <c:v>140.64371434488959</c:v>
                </c:pt>
                <c:pt idx="281">
                  <c:v>141.109454443526</c:v>
                </c:pt>
                <c:pt idx="282">
                  <c:v>141.57100366954006</c:v>
                </c:pt>
                <c:pt idx="283">
                  <c:v>142.02834358401435</c:v>
                </c:pt>
                <c:pt idx="284">
                  <c:v>142.48145611770468</c:v>
                </c:pt>
                <c:pt idx="285">
                  <c:v>142.930323569742</c:v>
                </c:pt>
                <c:pt idx="286">
                  <c:v>143.37492860631039</c:v>
                </c:pt>
                <c:pt idx="287">
                  <c:v>143.81525425929968</c:v>
                </c:pt>
                <c:pt idx="288">
                  <c:v>144.25128392493576</c:v>
                </c:pt>
                <c:pt idx="289">
                  <c:v>144.68300136238824</c:v>
                </c:pt>
                <c:pt idx="290">
                  <c:v>145.11039069235349</c:v>
                </c:pt>
                <c:pt idx="291">
                  <c:v>145.53343639561794</c:v>
                </c:pt>
                <c:pt idx="292">
                  <c:v>145.952123311598</c:v>
                </c:pt>
                <c:pt idx="293">
                  <c:v>146.36643663685916</c:v>
                </c:pt>
                <c:pt idx="294">
                  <c:v>146.77636192361473</c:v>
                </c:pt>
                <c:pt idx="295">
                  <c:v>147.18188507820332</c:v>
                </c:pt>
                <c:pt idx="296">
                  <c:v>147.58299235954698</c:v>
                </c:pt>
                <c:pt idx="297">
                  <c:v>147.97967037758971</c:v>
                </c:pt>
                <c:pt idx="298">
                  <c:v>148.36542066529773</c:v>
                </c:pt>
                <c:pt idx="299">
                  <c:v>148.73372146162905</c:v>
                </c:pt>
                <c:pt idx="300">
                  <c:v>149.08453501464911</c:v>
                </c:pt>
                <c:pt idx="301">
                  <c:v>149.41782742391842</c:v>
                </c:pt>
                <c:pt idx="302">
                  <c:v>149.7335686157077</c:v>
                </c:pt>
                <c:pt idx="303">
                  <c:v>150.03173231777828</c:v>
                </c:pt>
                <c:pt idx="304">
                  <c:v>150.31229603374427</c:v>
                </c:pt>
                <c:pt idx="305">
                  <c:v>150.57524101703095</c:v>
                </c:pt>
                <c:pt idx="306">
                  <c:v>150.82055224444645</c:v>
                </c:pt>
                <c:pt idx="307">
                  <c:v>151.04821838938309</c:v>
                </c:pt>
                <c:pt idx="308">
                  <c:v>151.25823179466173</c:v>
                </c:pt>
                <c:pt idx="309">
                  <c:v>151.4505884450372</c:v>
                </c:pt>
                <c:pt idx="310">
                  <c:v>151.62528793937932</c:v>
                </c:pt>
                <c:pt idx="311">
                  <c:v>151.78233346254353</c:v>
                </c:pt>
                <c:pt idx="312">
                  <c:v>151.92173175694958</c:v>
                </c:pt>
                <c:pt idx="313">
                  <c:v>152.04349309387931</c:v>
                </c:pt>
                <c:pt idx="314">
                  <c:v>152.14763124451167</c:v>
                </c:pt>
                <c:pt idx="315">
                  <c:v>152.23416345070808</c:v>
                </c:pt>
                <c:pt idx="316">
                  <c:v>152.30311039556375</c:v>
                </c:pt>
                <c:pt idx="317">
                  <c:v>152.354496173738</c:v>
                </c:pt>
                <c:pt idx="318">
                  <c:v>152.38834826157972</c:v>
                </c:pt>
                <c:pt idx="319">
                  <c:v>152.40469748706104</c:v>
                </c:pt>
                <c:pt idx="320">
                  <c:v>152.40357799953281</c:v>
                </c:pt>
                <c:pt idx="321">
                  <c:v>152.38763682852175</c:v>
                </c:pt>
                <c:pt idx="322">
                  <c:v>152.35951762984365</c:v>
                </c:pt>
                <c:pt idx="323">
                  <c:v>152.31925009417628</c:v>
                </c:pt>
                <c:pt idx="324">
                  <c:v>152.26686546265063</c:v>
                </c:pt>
                <c:pt idx="325">
                  <c:v>152.20239651185219</c:v>
                </c:pt>
                <c:pt idx="326">
                  <c:v>152.12587753881738</c:v>
                </c:pt>
                <c:pt idx="327">
                  <c:v>152.03734434602742</c:v>
                </c:pt>
                <c:pt idx="328">
                  <c:v>151.93683422640612</c:v>
                </c:pt>
                <c:pt idx="329">
                  <c:v>151.82438594832428</c:v>
                </c:pt>
                <c:pt idx="330">
                  <c:v>151.70003974061507</c:v>
                </c:pt>
                <c:pt idx="331">
                  <c:v>151.56383727760445</c:v>
                </c:pt>
                <c:pt idx="332">
                  <c:v>151.41582166416055</c:v>
                </c:pt>
                <c:pt idx="333">
                  <c:v>151.25603742076541</c:v>
                </c:pt>
                <c:pt idx="334">
                  <c:v>151.08453046861354</c:v>
                </c:pt>
                <c:pt idx="335">
                  <c:v>150.90134811474024</c:v>
                </c:pt>
                <c:pt idx="336">
                  <c:v>150.70653903718386</c:v>
                </c:pt>
                <c:pt idx="337">
                  <c:v>150.50015327018505</c:v>
                </c:pt>
                <c:pt idx="338">
                  <c:v>150.28224218942722</c:v>
                </c:pt>
                <c:pt idx="339">
                  <c:v>150.05285849732076</c:v>
                </c:pt>
                <c:pt idx="340">
                  <c:v>149.81205620833478</c:v>
                </c:pt>
                <c:pt idx="341">
                  <c:v>149.55989063438003</c:v>
                </c:pt>
                <c:pt idx="342">
                  <c:v>149.29641837024539</c:v>
                </c:pt>
                <c:pt idx="343">
                  <c:v>149.02169727909174</c:v>
                </c:pt>
                <c:pt idx="344">
                  <c:v>148.73578647800622</c:v>
                </c:pt>
                <c:pt idx="345">
                  <c:v>148.43874632361909</c:v>
                </c:pt>
                <c:pt idx="346">
                  <c:v>148.13063839778778</c:v>
                </c:pt>
                <c:pt idx="347">
                  <c:v>147.81152549334936</c:v>
                </c:pt>
                <c:pt idx="348">
                  <c:v>147.4817477315307</c:v>
                </c:pt>
                <c:pt idx="349">
                  <c:v>147.14164442929885</c:v>
                </c:pt>
                <c:pt idx="350">
                  <c:v>146.79127853720658</c:v>
                </c:pt>
                <c:pt idx="351">
                  <c:v>146.43071403823413</c:v>
                </c:pt>
                <c:pt idx="352">
                  <c:v>146.06001593534194</c:v>
                </c:pt>
                <c:pt idx="353">
                  <c:v>145.6792502391034</c:v>
                </c:pt>
                <c:pt idx="354">
                  <c:v>145.28848395541971</c:v>
                </c:pt>
                <c:pt idx="355">
                  <c:v>144.88778507331847</c:v>
                </c:pt>
                <c:pt idx="356">
                  <c:v>144.47722255283881</c:v>
                </c:pt>
                <c:pt idx="357">
                  <c:v>144.05686631300387</c:v>
                </c:pt>
                <c:pt idx="358">
                  <c:v>143.62678721988379</c:v>
                </c:pt>
                <c:pt idx="359">
                  <c:v>143.18705707474899</c:v>
                </c:pt>
                <c:pt idx="360">
                  <c:v>142.74339067346068</c:v>
                </c:pt>
                <c:pt idx="361">
                  <c:v>142.30145273165715</c:v>
                </c:pt>
                <c:pt idx="362">
                  <c:v>141.8612342862433</c:v>
                </c:pt>
                <c:pt idx="363">
                  <c:v>141.42272643273469</c:v>
                </c:pt>
                <c:pt idx="364">
                  <c:v>140.98592032479681</c:v>
                </c:pt>
                <c:pt idx="365">
                  <c:v>140.55080717378758</c:v>
                </c:pt>
                <c:pt idx="366">
                  <c:v>140.11737824830468</c:v>
                </c:pt>
                <c:pt idx="367">
                  <c:v>139.68562487373705</c:v>
                </c:pt>
                <c:pt idx="368">
                  <c:v>139.25553843182007</c:v>
                </c:pt>
                <c:pt idx="369">
                  <c:v>138.82711036019521</c:v>
                </c:pt>
                <c:pt idx="370">
                  <c:v>138.40033215197349</c:v>
                </c:pt>
                <c:pt idx="371">
                  <c:v>137.97519535530313</c:v>
                </c:pt>
                <c:pt idx="372">
                  <c:v>137.55169157294088</c:v>
                </c:pt>
                <c:pt idx="373">
                  <c:v>137.12981246182727</c:v>
                </c:pt>
                <c:pt idx="374">
                  <c:v>136.70954973266612</c:v>
                </c:pt>
                <c:pt idx="375">
                  <c:v>136.29089514950758</c:v>
                </c:pt>
                <c:pt idx="376">
                  <c:v>135.87384052933447</c:v>
                </c:pt>
                <c:pt idx="377">
                  <c:v>135.45837774165332</c:v>
                </c:pt>
                <c:pt idx="378">
                  <c:v>135.04449870808872</c:v>
                </c:pt>
                <c:pt idx="379">
                  <c:v>134.63219540198079</c:v>
                </c:pt>
                <c:pt idx="380">
                  <c:v>134.22145984798701</c:v>
                </c:pt>
                <c:pt idx="381">
                  <c:v>133.81228412168738</c:v>
                </c:pt>
                <c:pt idx="382">
                  <c:v>133.40466034919308</c:v>
                </c:pt>
                <c:pt idx="383">
                  <c:v>132.99858070675867</c:v>
                </c:pt>
                <c:pt idx="384">
                  <c:v>132.59403742039777</c:v>
                </c:pt>
                <c:pt idx="385">
                  <c:v>132.19102276550234</c:v>
                </c:pt>
                <c:pt idx="386">
                  <c:v>131.78952906646498</c:v>
                </c:pt>
                <c:pt idx="387">
                  <c:v>131.38954869630498</c:v>
                </c:pt>
                <c:pt idx="388">
                  <c:v>130.99107407629762</c:v>
                </c:pt>
                <c:pt idx="389">
                  <c:v>130.59409767560672</c:v>
                </c:pt>
                <c:pt idx="390">
                  <c:v>130.19861201092044</c:v>
                </c:pt>
                <c:pt idx="391">
                  <c:v>129.80460964609046</c:v>
                </c:pt>
                <c:pt idx="392">
                  <c:v>129.41208319177392</c:v>
                </c:pt>
                <c:pt idx="393">
                  <c:v>129.02102530507918</c:v>
                </c:pt>
                <c:pt idx="394">
                  <c:v>128.6314286892146</c:v>
                </c:pt>
                <c:pt idx="395">
                  <c:v>128.24328609313955</c:v>
                </c:pt>
                <c:pt idx="396">
                  <c:v>127.85659031122002</c:v>
                </c:pt>
                <c:pt idx="397">
                  <c:v>127.47133418288588</c:v>
                </c:pt>
                <c:pt idx="398">
                  <c:v>127.08751059229188</c:v>
                </c:pt>
                <c:pt idx="399">
                  <c:v>126.70511246798131</c:v>
                </c:pt>
                <c:pt idx="400">
                  <c:v>126.32413278255329</c:v>
                </c:pt>
                <c:pt idx="401">
                  <c:v>122.55933789248439</c:v>
                </c:pt>
                <c:pt idx="402">
                  <c:v>118.93170069229338</c:v>
                </c:pt>
                <c:pt idx="403">
                  <c:v>115.43465118642234</c:v>
                </c:pt>
                <c:pt idx="404">
                  <c:v>112.06201301488041</c:v>
                </c:pt>
                <c:pt idx="405">
                  <c:v>108.80797534169044</c:v>
                </c:pt>
                <c:pt idx="406">
                  <c:v>105.66706706842743</c:v>
                </c:pt>
                <c:pt idx="407">
                  <c:v>102.6341331549188</c:v>
                </c:pt>
                <c:pt idx="408">
                  <c:v>99.704312851952665</c:v>
                </c:pt>
                <c:pt idx="409">
                  <c:v>96.873019670992605</c:v>
                </c:pt>
                <c:pt idx="410">
                  <c:v>94.135922933761705</c:v>
                </c:pt>
                <c:pt idx="411">
                  <c:v>91.488930760413766</c:v>
                </c:pt>
                <c:pt idx="412">
                  <c:v>88.928174369102649</c:v>
                </c:pt>
                <c:pt idx="413">
                  <c:v>86.449993572308045</c:v>
                </c:pt>
                <c:pt idx="414">
                  <c:v>84.050923366455109</c:v>
                </c:pt>
                <c:pt idx="415">
                  <c:v>81.727681521349993</c:v>
                </c:pt>
                <c:pt idx="416">
                  <c:v>79.477157084870569</c:v>
                </c:pt>
                <c:pt idx="417">
                  <c:v>77.296399726335679</c:v>
                </c:pt>
                <c:pt idx="418">
                  <c:v>75.182609849127502</c:v>
                </c:pt>
                <c:pt idx="419">
                  <c:v>73.133129409557796</c:v>
                </c:pt>
                <c:pt idx="420">
                  <c:v>71.145433384730879</c:v>
                </c:pt>
                <c:pt idx="421">
                  <c:v>69.217121837338041</c:v>
                </c:pt>
                <c:pt idx="422">
                  <c:v>67.345912529982698</c:v>
                </c:pt>
                <c:pt idx="423">
                  <c:v>65.529634045839188</c:v>
                </c:pt>
                <c:pt idx="424">
                  <c:v>63.766219376240464</c:v>
                </c:pt>
                <c:pt idx="425">
                  <c:v>62.053699939216934</c:v>
                </c:pt>
                <c:pt idx="426">
                  <c:v>60.39019999610386</c:v>
                </c:pt>
                <c:pt idx="427">
                  <c:v>58.773931436139925</c:v>
                </c:pt>
                <c:pt idx="428">
                  <c:v>57.203188901517187</c:v>
                </c:pt>
                <c:pt idx="429">
                  <c:v>55.676345227647403</c:v>
                </c:pt>
                <c:pt idx="430">
                  <c:v>54.191847175499056</c:v>
                </c:pt>
                <c:pt idx="431">
                  <c:v>52.748211434759682</c:v>
                </c:pt>
                <c:pt idx="432">
                  <c:v>51.344020878305223</c:v>
                </c:pt>
                <c:pt idx="433">
                  <c:v>49.977921050030567</c:v>
                </c:pt>
                <c:pt idx="434">
                  <c:v>48.648616869529143</c:v>
                </c:pt>
                <c:pt idx="435">
                  <c:v>47.354869538414235</c:v>
                </c:pt>
                <c:pt idx="436">
                  <c:v>46.095493634268557</c:v>
                </c:pt>
                <c:pt idx="437">
                  <c:v>44.869354379297548</c:v>
                </c:pt>
                <c:pt idx="438">
                  <c:v>43.675365071756879</c:v>
                </c:pt>
                <c:pt idx="439">
                  <c:v>42.512484669136875</c:v>
                </c:pt>
                <c:pt idx="440">
                  <c:v>41.379715512919532</c:v>
                </c:pt>
                <c:pt idx="441">
                  <c:v>40.276101185489949</c:v>
                </c:pt>
                <c:pt idx="442">
                  <c:v>39.200724490483651</c:v>
                </c:pt>
                <c:pt idx="443">
                  <c:v>38.152705548495597</c:v>
                </c:pt>
                <c:pt idx="444">
                  <c:v>37.131200000667569</c:v>
                </c:pt>
                <c:pt idx="445">
                  <c:v>36.135397313214362</c:v>
                </c:pt>
                <c:pt idx="446">
                  <c:v>35.164519176447897</c:v>
                </c:pt>
                <c:pt idx="447">
                  <c:v>34.217817992319681</c:v>
                </c:pt>
                <c:pt idx="448">
                  <c:v>33.294575444924718</c:v>
                </c:pt>
                <c:pt idx="449">
                  <c:v>32.394101148801234</c:v>
                </c:pt>
                <c:pt idx="450">
                  <c:v>31.515731370220387</c:v>
                </c:pt>
                <c:pt idx="451">
                  <c:v>30.658827816992773</c:v>
                </c:pt>
                <c:pt idx="452">
                  <c:v>29.82277649262592</c:v>
                </c:pt>
                <c:pt idx="453">
                  <c:v>29.006986610950229</c:v>
                </c:pt>
                <c:pt idx="454">
                  <c:v>28.210889567593544</c:v>
                </c:pt>
                <c:pt idx="455">
                  <c:v>27.433937964927665</c:v>
                </c:pt>
                <c:pt idx="456">
                  <c:v>26.67560468733452</c:v>
                </c:pt>
                <c:pt idx="457">
                  <c:v>25.935382023848103</c:v>
                </c:pt>
                <c:pt idx="458">
                  <c:v>25.212780835421754</c:v>
                </c:pt>
                <c:pt idx="459">
                  <c:v>24.507329764249146</c:v>
                </c:pt>
                <c:pt idx="460">
                  <c:v>23.818574482733489</c:v>
                </c:pt>
                <c:pt idx="461">
                  <c:v>23.146076979854396</c:v>
                </c:pt>
                <c:pt idx="462">
                  <c:v>22.489414882824441</c:v>
                </c:pt>
                <c:pt idx="463">
                  <c:v>21.848180812061635</c:v>
                </c:pt>
                <c:pt idx="464">
                  <c:v>21.221981767627298</c:v>
                </c:pt>
                <c:pt idx="465">
                  <c:v>20.610438545394924</c:v>
                </c:pt>
                <c:pt idx="466">
                  <c:v>20.01318518132236</c:v>
                </c:pt>
                <c:pt idx="467">
                  <c:v>19.429868422300522</c:v>
                </c:pt>
                <c:pt idx="468">
                  <c:v>18.86014722214443</c:v>
                </c:pt>
                <c:pt idx="469">
                  <c:v>18.303692261379954</c:v>
                </c:pt>
                <c:pt idx="470">
                  <c:v>17.760185489560474</c:v>
                </c:pt>
                <c:pt idx="471">
                  <c:v>17.229319688923706</c:v>
                </c:pt>
                <c:pt idx="472">
                  <c:v>16.710798058269393</c:v>
                </c:pt>
                <c:pt idx="473">
                  <c:v>16.204333816005175</c:v>
                </c:pt>
                <c:pt idx="474">
                  <c:v>15.709649821369208</c:v>
                </c:pt>
                <c:pt idx="475">
                  <c:v>15.226478212896444</c:v>
                </c:pt>
                <c:pt idx="476">
                  <c:v>14.754560063249205</c:v>
                </c:pt>
                <c:pt idx="477">
                  <c:v>14.293645049583491</c:v>
                </c:pt>
                <c:pt idx="478">
                  <c:v>13.843491138669901</c:v>
                </c:pt>
                <c:pt idx="479">
                  <c:v>13.403864286032311</c:v>
                </c:pt>
                <c:pt idx="480">
                  <c:v>12.974538148409414</c:v>
                </c:pt>
                <c:pt idx="481">
                  <c:v>12.555293808882858</c:v>
                </c:pt>
                <c:pt idx="482">
                  <c:v>12.145919514052766</c:v>
                </c:pt>
                <c:pt idx="483">
                  <c:v>11.746210422675475</c:v>
                </c:pt>
                <c:pt idx="484">
                  <c:v>11.35596836521086</c:v>
                </c:pt>
                <c:pt idx="485">
                  <c:v>10.975001613756694</c:v>
                </c:pt>
                <c:pt idx="486">
                  <c:v>10.603124661876237</c:v>
                </c:pt>
                <c:pt idx="487">
                  <c:v>10.240158013851717</c:v>
                </c:pt>
                <c:pt idx="488">
                  <c:v>9.8859279829218796</c:v>
                </c:pt>
                <c:pt idx="489">
                  <c:v>9.5402664980851206</c:v>
                </c:pt>
                <c:pt idx="490">
                  <c:v>9.2030109190723124</c:v>
                </c:pt>
                <c:pt idx="491">
                  <c:v>8.8740038591141417</c:v>
                </c:pt>
                <c:pt idx="492">
                  <c:v>8.5530930151476916</c:v>
                </c:pt>
                <c:pt idx="493">
                  <c:v>8.2401310051255301</c:v>
                </c:pt>
                <c:pt idx="494">
                  <c:v>7.9349752121080703</c:v>
                </c:pt>
                <c:pt idx="495">
                  <c:v>7.6374876348364866</c:v>
                </c:pt>
                <c:pt idx="496">
                  <c:v>7.3475347444990309</c:v>
                </c:pt>
                <c:pt idx="497">
                  <c:v>7.064987347418227</c:v>
                </c:pt>
                <c:pt idx="498">
                  <c:v>6.7897204534002169</c:v>
                </c:pt>
                <c:pt idx="499">
                  <c:v>6.5216131495005936</c:v>
                </c:pt>
                <c:pt idx="500">
                  <c:v>6.2605484789732548</c:v>
                </c:pt>
                <c:pt idx="501">
                  <c:v>6.0064133251804357</c:v>
                </c:pt>
                <c:pt idx="502">
                  <c:v>5.7590983002528864</c:v>
                </c:pt>
                <c:pt idx="503">
                  <c:v>5.5184976382993938</c:v>
                </c:pt>
                <c:pt idx="504">
                  <c:v>5.2845090929745817</c:v>
                </c:pt>
                <c:pt idx="505">
                  <c:v>5.0570338392227558</c:v>
                </c:pt>
                <c:pt idx="506">
                  <c:v>4.8359763790242205</c:v>
                </c:pt>
                <c:pt idx="507">
                  <c:v>4.6212444509782991</c:v>
                </c:pt>
                <c:pt idx="508">
                  <c:v>4.4127489435646767</c:v>
                </c:pt>
                <c:pt idx="509">
                  <c:v>4.2104038119316174</c:v>
                </c:pt>
                <c:pt idx="510">
                  <c:v>4.014125998065821</c:v>
                </c:pt>
                <c:pt idx="511">
                  <c:v>3.8238353542045944</c:v>
                </c:pt>
                <c:pt idx="512">
                  <c:v>3.6394545693562503</c:v>
                </c:pt>
                <c:pt idx="513">
                  <c:v>3.4609090987993052</c:v>
                </c:pt>
                <c:pt idx="514">
                  <c:v>3.2881270964353089</c:v>
                </c:pt>
                <c:pt idx="515">
                  <c:v>3.1210393498735423</c:v>
                </c:pt>
                <c:pt idx="516">
                  <c:v>2.9595792181287837</c:v>
                </c:pt>
                <c:pt idx="517">
                  <c:v>2.8036825718154059</c:v>
                </c:pt>
                <c:pt idx="518">
                  <c:v>2.6532877357224343</c:v>
                </c:pt>
                <c:pt idx="519">
                  <c:v>2.5083354336545809</c:v>
                </c:pt>
                <c:pt idx="520">
                  <c:v>2.3687687354236067</c:v>
                </c:pt>
                <c:pt idx="521">
                  <c:v>2.2345330058725219</c:v>
                </c:pt>
                <c:pt idx="522">
                  <c:v>2.1055758558118001</c:v>
                </c:pt>
                <c:pt idx="523">
                  <c:v>1.9818470947417939</c:v>
                </c:pt>
                <c:pt idx="524">
                  <c:v>1.8632986852285416</c:v>
                </c:pt>
                <c:pt idx="525">
                  <c:v>1.7498846987907293</c:v>
                </c:pt>
                <c:pt idx="526">
                  <c:v>1.6415612731433133</c:v>
                </c:pt>
                <c:pt idx="527">
                  <c:v>1.538286570627543</c:v>
                </c:pt>
                <c:pt idx="528">
                  <c:v>1.4400207376372545</c:v>
                </c:pt>
                <c:pt idx="529">
                  <c:v>1.346725864826483</c:v>
                </c:pt>
                <c:pt idx="530">
                  <c:v>1.2583659478527141</c:v>
                </c:pt>
                <c:pt idx="531">
                  <c:v>1.1749068483724334</c:v>
                </c:pt>
                <c:pt idx="532">
                  <c:v>1.0963162549599221</c:v>
                </c:pt>
                <c:pt idx="533">
                  <c:v>1.0225636435653045</c:v>
                </c:pt>
                <c:pt idx="534">
                  <c:v>0.95362023706271737</c:v>
                </c:pt>
                <c:pt idx="535">
                  <c:v>0.88945896336352048</c:v>
                </c:pt>
                <c:pt idx="536">
                  <c:v>0.83005441148278158</c:v>
                </c:pt>
                <c:pt idx="537">
                  <c:v>0.77538278485130618</c:v>
                </c:pt>
                <c:pt idx="538">
                  <c:v>0.7254218510636925</c:v>
                </c:pt>
                <c:pt idx="539">
                  <c:v>0.68015088715177019</c:v>
                </c:pt>
                <c:pt idx="540">
                  <c:v>0.63955061938309865</c:v>
                </c:pt>
                <c:pt idx="541">
                  <c:v>0.60360315652182739</c:v>
                </c:pt>
                <c:pt idx="542">
                  <c:v>0.57229191547599545</c:v>
                </c:pt>
                <c:pt idx="543">
                  <c:v>0.54560153831827141</c:v>
                </c:pt>
                <c:pt idx="544">
                  <c:v>0.52351779983573332</c:v>
                </c:pt>
                <c:pt idx="545">
                  <c:v>0.50602750506513172</c:v>
                </c:pt>
                <c:pt idx="546">
                  <c:v>0.4931183767177959</c:v>
                </c:pt>
                <c:pt idx="547">
                  <c:v>0.48477893298530977</c:v>
                </c:pt>
                <c:pt idx="548">
                  <c:v>0.48099835690382292</c:v>
                </c:pt>
                <c:pt idx="549">
                  <c:v>0.48176635916733707</c:v>
                </c:pt>
                <c:pt idx="550">
                  <c:v>0.487073036917752</c:v>
                </c:pt>
                <c:pt idx="551">
                  <c:v>0.49690873149509701</c:v>
                </c:pt>
                <c:pt idx="552">
                  <c:v>0.51126388832036029</c:v>
                </c:pt>
                <c:pt idx="553">
                  <c:v>0.5301289219685601</c:v>
                </c:pt>
                <c:pt idx="554">
                  <c:v>0.55349408909368336</c:v>
                </c:pt>
                <c:pt idx="555">
                  <c:v>0.58134937126479935</c:v>
                </c:pt>
                <c:pt idx="556">
                  <c:v>0.61368436906826429</c:v>
                </c:pt>
                <c:pt idx="557">
                  <c:v>0.65048820812934172</c:v>
                </c:pt>
                <c:pt idx="558">
                  <c:v>0.69174945709006852</c:v>
                </c:pt>
                <c:pt idx="559">
                  <c:v>0.73745605709708228</c:v>
                </c:pt>
                <c:pt idx="560">
                  <c:v>0.78759526201833929</c:v>
                </c:pt>
                <c:pt idx="561">
                  <c:v>0.84215358841092391</c:v>
                </c:pt>
                <c:pt idx="562">
                  <c:v>0.90111677417874469</c:v>
                </c:pt>
                <c:pt idx="563">
                  <c:v>0.96446974485921544</c:v>
                </c:pt>
                <c:pt idx="564">
                  <c:v>1.032196586533773</c:v>
                </c:pt>
                <c:pt idx="565">
                  <c:v>1.104280524444986</c:v>
                </c:pt>
                <c:pt idx="566">
                  <c:v>1.1807039065056004</c:v>
                </c:pt>
                <c:pt idx="567">
                  <c:v>1.2614481909901658</c:v>
                </c:pt>
                <c:pt idx="568">
                  <c:v>1.3464939378004928</c:v>
                </c:pt>
                <c:pt idx="569">
                  <c:v>1.435820802787988</c:v>
                </c:pt>
                <c:pt idx="570">
                  <c:v>1.5294075346970726</c:v>
                </c:pt>
                <c:pt idx="571">
                  <c:v>1.6272319743641181</c:v>
                </c:pt>
                <c:pt idx="572">
                  <c:v>1.7292710558661279</c:v>
                </c:pt>
                <c:pt idx="573">
                  <c:v>1.8355008093636993</c:v>
                </c:pt>
                <c:pt idx="574">
                  <c:v>1.945896365424858</c:v>
                </c:pt>
                <c:pt idx="575">
                  <c:v>2.0604319606511656</c:v>
                </c:pt>
                <c:pt idx="576">
                  <c:v>2.1790809444564059</c:v>
                </c:pt>
                <c:pt idx="577">
                  <c:v>2.3018157868718334</c:v>
                </c:pt>
                <c:pt idx="578">
                  <c:v>2.4286080872716105</c:v>
                </c:pt>
                <c:pt idx="579">
                  <c:v>2.5594285839280828</c:v>
                </c:pt>
                <c:pt idx="580">
                  <c:v>2.6942471643198509</c:v>
                </c:pt>
                <c:pt idx="581">
                  <c:v>2.8330328761263992</c:v>
                </c:pt>
                <c:pt idx="582">
                  <c:v>2.9757539388521153</c:v>
                </c:pt>
                <c:pt idx="583">
                  <c:v>3.1223777560298172</c:v>
                </c:pt>
                <c:pt idx="584">
                  <c:v>3.2728709279601653</c:v>
                </c:pt>
                <c:pt idx="585">
                  <c:v>3.4271992649481917</c:v>
                </c:pt>
                <c:pt idx="586">
                  <c:v>3.5853278010025558</c:v>
                </c:pt>
                <c:pt idx="587">
                  <c:v>3.7472208079664853</c:v>
                </c:pt>
                <c:pt idx="588">
                  <c:v>3.912841810052285</c:v>
                </c:pt>
                <c:pt idx="589">
                  <c:v>4.0821535987537168</c:v>
                </c:pt>
                <c:pt idx="590">
                  <c:v>4.255118248112562</c:v>
                </c:pt>
                <c:pt idx="591">
                  <c:v>4.431697130317314</c:v>
                </c:pt>
                <c:pt idx="592">
                  <c:v>4.6118509316134482</c:v>
                </c:pt>
                <c:pt idx="593">
                  <c:v>4.795539668505806</c:v>
                </c:pt>
                <c:pt idx="594">
                  <c:v>4.9827227042347344</c:v>
                </c:pt>
                <c:pt idx="595">
                  <c:v>5.1733587655083548</c:v>
                </c:pt>
                <c:pt idx="596">
                  <c:v>5.3674059594741976</c:v>
                </c:pt>
                <c:pt idx="597">
                  <c:v>5.5648217909139301</c:v>
                </c:pt>
                <c:pt idx="598">
                  <c:v>5.7655631796455049</c:v>
                </c:pt>
                <c:pt idx="599">
                  <c:v>5.9695864781175318</c:v>
                </c:pt>
                <c:pt idx="600">
                  <c:v>6.1768474891809868</c:v>
                </c:pt>
                <c:pt idx="601">
                  <c:v>6.3873014840238396</c:v>
                </c:pt>
                <c:pt idx="602">
                  <c:v>6.6009032202544349</c:v>
                </c:pt>
                <c:pt idx="603">
                  <c:v>6.8176069601196545</c:v>
                </c:pt>
                <c:pt idx="604">
                  <c:v>7.037366488844377</c:v>
                </c:pt>
                <c:pt idx="605">
                  <c:v>7.2601351330787001</c:v>
                </c:pt>
                <c:pt idx="606">
                  <c:v>7.4858657794397985</c:v>
                </c:pt>
                <c:pt idx="607">
                  <c:v>7.7145108931354454</c:v>
                </c:pt>
                <c:pt idx="608">
                  <c:v>7.9460225366563559</c:v>
                </c:pt>
                <c:pt idx="609">
                  <c:v>8.1803523885247706</c:v>
                </c:pt>
                <c:pt idx="610">
                  <c:v>8.4174517620868468</c:v>
                </c:pt>
                <c:pt idx="611">
                  <c:v>8.6572716243365981</c:v>
                </c:pt>
                <c:pt idx="612">
                  <c:v>8.8997626147592452</c:v>
                </c:pt>
                <c:pt idx="613">
                  <c:v>9.1448750641821643</c:v>
                </c:pt>
                <c:pt idx="614">
                  <c:v>9.3925590136215806</c:v>
                </c:pt>
                <c:pt idx="615">
                  <c:v>9.6427642331135228</c:v>
                </c:pt>
                <c:pt idx="616">
                  <c:v>9.8954402405175426</c:v>
                </c:pt>
                <c:pt idx="617">
                  <c:v>10.150536320282161</c:v>
                </c:pt>
                <c:pt idx="618">
                  <c:v>10.408001542160783</c:v>
                </c:pt>
                <c:pt idx="619">
                  <c:v>10.66778477986737</c:v>
                </c:pt>
                <c:pt idx="620">
                  <c:v>10.929834729661243</c:v>
                </c:pt>
                <c:pt idx="621">
                  <c:v>11.194099928850386</c:v>
                </c:pt>
                <c:pt idx="622">
                  <c:v>11.460528774203128</c:v>
                </c:pt>
                <c:pt idx="623">
                  <c:v>11.729069540258074</c:v>
                </c:pt>
                <c:pt idx="624">
                  <c:v>11.999670397522408</c:v>
                </c:pt>
                <c:pt idx="625">
                  <c:v>12.272279430548906</c:v>
                </c:pt>
                <c:pt idx="626">
                  <c:v>12.546844655882319</c:v>
                </c:pt>
                <c:pt idx="627">
                  <c:v>12.823314039865636</c:v>
                </c:pt>
                <c:pt idx="628">
                  <c:v>13.101635516297613</c:v>
                </c:pt>
                <c:pt idx="629">
                  <c:v>13.381757003932405</c:v>
                </c:pt>
                <c:pt idx="630">
                  <c:v>13.663626423812968</c:v>
                </c:pt>
                <c:pt idx="631">
                  <c:v>13.94719171642995</c:v>
                </c:pt>
                <c:pt idx="632">
                  <c:v>14.232400858697734</c:v>
                </c:pt>
                <c:pt idx="633">
                  <c:v>14.519201880740157</c:v>
                </c:pt>
                <c:pt idx="634">
                  <c:v>14.807542882477941</c:v>
                </c:pt>
                <c:pt idx="635">
                  <c:v>15.097372050010772</c:v>
                </c:pt>
                <c:pt idx="636">
                  <c:v>15.388637671786727</c:v>
                </c:pt>
                <c:pt idx="637">
                  <c:v>15.681288154552346</c:v>
                </c:pt>
                <c:pt idx="638">
                  <c:v>15.975272039076613</c:v>
                </c:pt>
                <c:pt idx="639">
                  <c:v>16.270538015642575</c:v>
                </c:pt>
                <c:pt idx="640">
                  <c:v>16.567034939300463</c:v>
                </c:pt>
                <c:pt idx="641">
                  <c:v>16.864711844876524</c:v>
                </c:pt>
                <c:pt idx="642">
                  <c:v>17.163517961732005</c:v>
                </c:pt>
                <c:pt idx="643">
                  <c:v>17.463402728266864</c:v>
                </c:pt>
                <c:pt idx="644">
                  <c:v>17.764315806163193</c:v>
                </c:pt>
                <c:pt idx="645">
                  <c:v>18.066207094363655</c:v>
                </c:pt>
                <c:pt idx="646">
                  <c:v>18.369026742780285</c:v>
                </c:pt>
                <c:pt idx="647">
                  <c:v>18.672725165729346</c:v>
                </c:pt>
                <c:pt idx="648">
                  <c:v>18.977253055088344</c:v>
                </c:pt>
                <c:pt idx="649">
                  <c:v>19.282561393171335</c:v>
                </c:pt>
                <c:pt idx="650">
                  <c:v>19.588601465319051</c:v>
                </c:pt>
                <c:pt idx="651">
                  <c:v>19.89532487220059</c:v>
                </c:pt>
                <c:pt idx="652">
                  <c:v>20.202683541823713</c:v>
                </c:pt>
                <c:pt idx="653">
                  <c:v>20.510629741250927</c:v>
                </c:pt>
                <c:pt idx="654">
                  <c:v>20.819116088018976</c:v>
                </c:pt>
                <c:pt idx="655">
                  <c:v>21.128095561259343</c:v>
                </c:pt>
                <c:pt idx="656">
                  <c:v>21.437521512517915</c:v>
                </c:pt>
                <c:pt idx="657">
                  <c:v>21.747347676272021</c:v>
                </c:pt>
                <c:pt idx="658">
                  <c:v>22.057528180143294</c:v>
                </c:pt>
                <c:pt idx="659">
                  <c:v>22.368017554805053</c:v>
                </c:pt>
                <c:pt idx="660">
                  <c:v>22.678770743583382</c:v>
                </c:pt>
                <c:pt idx="661">
                  <c:v>22.989743111750702</c:v>
                </c:pt>
                <c:pt idx="662">
                  <c:v>23.300890455511851</c:v>
                </c:pt>
                <c:pt idx="663">
                  <c:v>23.612169010681697</c:v>
                </c:pt>
                <c:pt idx="664">
                  <c:v>23.923535461054488</c:v>
                </c:pt>
                <c:pt idx="665">
                  <c:v>24.234946946465232</c:v>
                </c:pt>
                <c:pt idx="666">
                  <c:v>24.546361070542787</c:v>
                </c:pt>
                <c:pt idx="667">
                  <c:v>24.857735908155917</c:v>
                </c:pt>
                <c:pt idx="668">
                  <c:v>25.16903001255243</c:v>
                </c:pt>
                <c:pt idx="669">
                  <c:v>25.480202422192704</c:v>
                </c:pt>
                <c:pt idx="670">
                  <c:v>25.791212667278511</c:v>
                </c:pt>
                <c:pt idx="671">
                  <c:v>26.102020775978524</c:v>
                </c:pt>
                <c:pt idx="672">
                  <c:v>26.412587280351964</c:v>
                </c:pt>
                <c:pt idx="673">
                  <c:v>26.722873221972186</c:v>
                </c:pt>
                <c:pt idx="674">
                  <c:v>27.032840157251837</c:v>
                </c:pt>
                <c:pt idx="675">
                  <c:v>27.34245016247182</c:v>
                </c:pt>
                <c:pt idx="676">
                  <c:v>27.65166583851607</c:v>
                </c:pt>
                <c:pt idx="677">
                  <c:v>27.960450315314755</c:v>
                </c:pt>
                <c:pt idx="678">
                  <c:v>28.268767255998043</c:v>
                </c:pt>
                <c:pt idx="679">
                  <c:v>28.576580860763446</c:v>
                </c:pt>
                <c:pt idx="680">
                  <c:v>28.883855870459389</c:v>
                </c:pt>
                <c:pt idx="681">
                  <c:v>29.190557569887837</c:v>
                </c:pt>
                <c:pt idx="682">
                  <c:v>29.496651790829365</c:v>
                </c:pt>
                <c:pt idx="683">
                  <c:v>29.802104914793553</c:v>
                </c:pt>
                <c:pt idx="684">
                  <c:v>30.106883875498248</c:v>
                </c:pt>
                <c:pt idx="685">
                  <c:v>30.410956161081113</c:v>
                </c:pt>
                <c:pt idx="686">
                  <c:v>30.714289816046929</c:v>
                </c:pt>
                <c:pt idx="687">
                  <c:v>31.016853442954567</c:v>
                </c:pt>
                <c:pt idx="688">
                  <c:v>31.318616203846972</c:v>
                </c:pt>
                <c:pt idx="689">
                  <c:v>31.619547821428597</c:v>
                </c:pt>
                <c:pt idx="690">
                  <c:v>31.919618579993834</c:v>
                </c:pt>
                <c:pt idx="691">
                  <c:v>32.218799326110627</c:v>
                </c:pt>
                <c:pt idx="692">
                  <c:v>32.517061469063393</c:v>
                </c:pt>
                <c:pt idx="693">
                  <c:v>32.814376981059638</c:v>
                </c:pt>
                <c:pt idx="694">
                  <c:v>33.110718397204217</c:v>
                </c:pt>
                <c:pt idx="695">
                  <c:v>33.406058815245856</c:v>
                </c:pt>
                <c:pt idx="696">
                  <c:v>33.700371895100339</c:v>
                </c:pt>
                <c:pt idx="697">
                  <c:v>33.993631858154615</c:v>
                </c:pt>
                <c:pt idx="698">
                  <c:v>34.28581348635668</c:v>
                </c:pt>
                <c:pt idx="699">
                  <c:v>34.576892121095483</c:v>
                </c:pt>
                <c:pt idx="700">
                  <c:v>34.866843661875592</c:v>
                </c:pt>
                <c:pt idx="701">
                  <c:v>35.155644564791423</c:v>
                </c:pt>
                <c:pt idx="702">
                  <c:v>35.443271840805529</c:v>
                </c:pt>
                <c:pt idx="703">
                  <c:v>35.729703053835522</c:v>
                </c:pt>
                <c:pt idx="704">
                  <c:v>36.014916318654848</c:v>
                </c:pt>
                <c:pt idx="705">
                  <c:v>36.298890298611632</c:v>
                </c:pt>
                <c:pt idx="706">
                  <c:v>36.581604203170656</c:v>
                </c:pt>
                <c:pt idx="707">
                  <c:v>36.863037785283204</c:v>
                </c:pt>
                <c:pt idx="708">
                  <c:v>37.14317133858961</c:v>
                </c:pt>
                <c:pt idx="709">
                  <c:v>37.421985694459082</c:v>
                </c:pt>
                <c:pt idx="710">
                  <c:v>37.699462218871851</c:v>
                </c:pt>
                <c:pt idx="711">
                  <c:v>37.975582809148229</c:v>
                </c:pt>
                <c:pt idx="712">
                  <c:v>38.250329890529592</c:v>
                </c:pt>
                <c:pt idx="713">
                  <c:v>38.523686412615717</c:v>
                </c:pt>
                <c:pt idx="714">
                  <c:v>38.795635845663504</c:v>
                </c:pt>
                <c:pt idx="715">
                  <c:v>39.066162176751718</c:v>
                </c:pt>
                <c:pt idx="716">
                  <c:v>39.335249905816383</c:v>
                </c:pt>
                <c:pt idx="717">
                  <c:v>39.602884041561637</c:v>
                </c:pt>
                <c:pt idx="718">
                  <c:v>39.869050097250629</c:v>
                </c:pt>
                <c:pt idx="719">
                  <c:v>40.133734086381097</c:v>
                </c:pt>
                <c:pt idx="720">
                  <c:v>40.396922518250193</c:v>
                </c:pt>
                <c:pt idx="721">
                  <c:v>40.658602393413126</c:v>
                </c:pt>
                <c:pt idx="722">
                  <c:v>40.918761199040233</c:v>
                </c:pt>
                <c:pt idx="723">
                  <c:v>41.177386904176679</c:v>
                </c:pt>
                <c:pt idx="724">
                  <c:v>41.434467954909579</c:v>
                </c:pt>
                <c:pt idx="725">
                  <c:v>41.689993269446568</c:v>
                </c:pt>
                <c:pt idx="726">
                  <c:v>41.943952233110487</c:v>
                </c:pt>
                <c:pt idx="727">
                  <c:v>42.196334693254151</c:v>
                </c:pt>
                <c:pt idx="728">
                  <c:v>42.447130954099677</c:v>
                </c:pt>
                <c:pt idx="729">
                  <c:v>42.696331771506394</c:v>
                </c:pt>
                <c:pt idx="730">
                  <c:v>42.943928347671502</c:v>
                </c:pt>
                <c:pt idx="731">
                  <c:v>43.189912325767672</c:v>
                </c:pt>
                <c:pt idx="732">
                  <c:v>43.434275784521219</c:v>
                </c:pt>
                <c:pt idx="733">
                  <c:v>43.677011232735317</c:v>
                </c:pt>
                <c:pt idx="734">
                  <c:v>43.918111603761609</c:v>
                </c:pt>
                <c:pt idx="735">
                  <c:v>44.157570249924525</c:v>
                </c:pt>
                <c:pt idx="736">
                  <c:v>44.395380936901532</c:v>
                </c:pt>
                <c:pt idx="737">
                  <c:v>44.631537838063473</c:v>
                </c:pt>
                <c:pt idx="738">
                  <c:v>44.866035528778461</c:v>
                </c:pt>
                <c:pt idx="739">
                  <c:v>45.098868980682447</c:v>
                </c:pt>
                <c:pt idx="740">
                  <c:v>45.330033555920984</c:v>
                </c:pt>
                <c:pt idx="741">
                  <c:v>45.55952500136442</c:v>
                </c:pt>
                <c:pt idx="742">
                  <c:v>45.78733944280053</c:v>
                </c:pt>
                <c:pt idx="743">
                  <c:v>46.013473379107822</c:v>
                </c:pt>
                <c:pt idx="744">
                  <c:v>46.237923676412592</c:v>
                </c:pt>
                <c:pt idx="745">
                  <c:v>46.460687562232927</c:v>
                </c:pt>
                <c:pt idx="746">
                  <c:v>46.681762619612492</c:v>
                </c:pt>
                <c:pt idx="747">
                  <c:v>46.901146781247554</c:v>
                </c:pt>
                <c:pt idx="748">
                  <c:v>47.118838323609744</c:v>
                </c:pt>
                <c:pt idx="749">
                  <c:v>47.334835861067376</c:v>
                </c:pt>
                <c:pt idx="750">
                  <c:v>47.549138340008824</c:v>
                </c:pt>
                <c:pt idx="751">
                  <c:v>47.761745032969337</c:v>
                </c:pt>
                <c:pt idx="752">
                  <c:v>47.972655532765323</c:v>
                </c:pt>
                <c:pt idx="753">
                  <c:v>48.181869746637652</c:v>
                </c:pt>
                <c:pt idx="754">
                  <c:v>48.389387890407022</c:v>
                </c:pt>
                <c:pt idx="755">
                  <c:v>48.595210482643402</c:v>
                </c:pt>
                <c:pt idx="756">
                  <c:v>48.799338338852372</c:v>
                </c:pt>
                <c:pt idx="757">
                  <c:v>49.001772565680135</c:v>
                </c:pt>
                <c:pt idx="758">
                  <c:v>49.202514555139786</c:v>
                </c:pt>
                <c:pt idx="759">
                  <c:v>49.401565978860582</c:v>
                </c:pt>
                <c:pt idx="760">
                  <c:v>49.598928782362847</c:v>
                </c:pt>
                <c:pt idx="761">
                  <c:v>49.794605179359841</c:v>
                </c:pt>
                <c:pt idx="762">
                  <c:v>49.988597646088969</c:v>
                </c:pt>
                <c:pt idx="763">
                  <c:v>50.180908915674195</c:v>
                </c:pt>
                <c:pt idx="764">
                  <c:v>50.371541972520987</c:v>
                </c:pt>
                <c:pt idx="765">
                  <c:v>50.5605000467461</c:v>
                </c:pt>
                <c:pt idx="766">
                  <c:v>50.747786608643629</c:v>
                </c:pt>
                <c:pt idx="767">
                  <c:v>50.933405363188598</c:v>
                </c:pt>
                <c:pt idx="768">
                  <c:v>51.117360244580276</c:v>
                </c:pt>
                <c:pt idx="769">
                  <c:v>51.29965541082597</c:v>
                </c:pt>
                <c:pt idx="770">
                  <c:v>51.480295238367404</c:v>
                </c:pt>
                <c:pt idx="771">
                  <c:v>51.659284316750295</c:v>
                </c:pt>
                <c:pt idx="772">
                  <c:v>51.836627443339097</c:v>
                </c:pt>
                <c:pt idx="773">
                  <c:v>52.012329618077707</c:v>
                </c:pt>
                <c:pt idx="774">
                  <c:v>52.18639603829731</c:v>
                </c:pt>
                <c:pt idx="775">
                  <c:v>52.186568199196337</c:v>
                </c:pt>
                <c:pt idx="776">
                  <c:v>52.186740358483021</c:v>
                </c:pt>
                <c:pt idx="777">
                  <c:v>52.186912516157399</c:v>
                </c:pt>
                <c:pt idx="778">
                  <c:v>52.187084672219484</c:v>
                </c:pt>
                <c:pt idx="779">
                  <c:v>52.187256826669284</c:v>
                </c:pt>
                <c:pt idx="780">
                  <c:v>52.187428979506784</c:v>
                </c:pt>
                <c:pt idx="781">
                  <c:v>52.187601130732027</c:v>
                </c:pt>
                <c:pt idx="782">
                  <c:v>52.187773280344928</c:v>
                </c:pt>
                <c:pt idx="783">
                  <c:v>52.187945428345607</c:v>
                </c:pt>
                <c:pt idx="784">
                  <c:v>52.188117574733994</c:v>
                </c:pt>
                <c:pt idx="785">
                  <c:v>52.188289719510131</c:v>
                </c:pt>
                <c:pt idx="786">
                  <c:v>52.188461862673975</c:v>
                </c:pt>
                <c:pt idx="787">
                  <c:v>52.188634004225584</c:v>
                </c:pt>
                <c:pt idx="788">
                  <c:v>52.188806144164957</c:v>
                </c:pt>
                <c:pt idx="789">
                  <c:v>52.188978282492116</c:v>
                </c:pt>
                <c:pt idx="790">
                  <c:v>52.189150419206989</c:v>
                </c:pt>
                <c:pt idx="791">
                  <c:v>52.189322554309634</c:v>
                </c:pt>
                <c:pt idx="792">
                  <c:v>52.189494687800071</c:v>
                </c:pt>
                <c:pt idx="793">
                  <c:v>52.189666819678322</c:v>
                </c:pt>
                <c:pt idx="794">
                  <c:v>52.189838949944324</c:v>
                </c:pt>
                <c:pt idx="795">
                  <c:v>52.19001107859809</c:v>
                </c:pt>
                <c:pt idx="796">
                  <c:v>52.190183205639691</c:v>
                </c:pt>
                <c:pt idx="797">
                  <c:v>52.190355331069071</c:v>
                </c:pt>
                <c:pt idx="798">
                  <c:v>52.190527454886265</c:v>
                </c:pt>
                <c:pt idx="799">
                  <c:v>52.190699577091259</c:v>
                </c:pt>
                <c:pt idx="800">
                  <c:v>52.190871697684095</c:v>
                </c:pt>
                <c:pt idx="801">
                  <c:v>52.191043816664752</c:v>
                </c:pt>
                <c:pt idx="802">
                  <c:v>52.191215934033231</c:v>
                </c:pt>
                <c:pt idx="803">
                  <c:v>52.191388049789524</c:v>
                </c:pt>
                <c:pt idx="804">
                  <c:v>52.191560163933701</c:v>
                </c:pt>
                <c:pt idx="805">
                  <c:v>52.191732276465714</c:v>
                </c:pt>
                <c:pt idx="806">
                  <c:v>52.191904387385541</c:v>
                </c:pt>
                <c:pt idx="807">
                  <c:v>52.192076496693275</c:v>
                </c:pt>
                <c:pt idx="808">
                  <c:v>52.192248604388858</c:v>
                </c:pt>
                <c:pt idx="809">
                  <c:v>52.19242071047227</c:v>
                </c:pt>
                <c:pt idx="810">
                  <c:v>52.192592814943595</c:v>
                </c:pt>
                <c:pt idx="811">
                  <c:v>52.192764917802798</c:v>
                </c:pt>
                <c:pt idx="812">
                  <c:v>52.192937019049857</c:v>
                </c:pt>
                <c:pt idx="813">
                  <c:v>52.193109118684831</c:v>
                </c:pt>
                <c:pt idx="814">
                  <c:v>52.193281216707661</c:v>
                </c:pt>
                <c:pt idx="815">
                  <c:v>52.193453313118439</c:v>
                </c:pt>
                <c:pt idx="816">
                  <c:v>52.193625407917111</c:v>
                </c:pt>
                <c:pt idx="817">
                  <c:v>52.193797501103674</c:v>
                </c:pt>
                <c:pt idx="818">
                  <c:v>52.193969592678144</c:v>
                </c:pt>
                <c:pt idx="819">
                  <c:v>52.194141682640556</c:v>
                </c:pt>
                <c:pt idx="820">
                  <c:v>52.194313770990902</c:v>
                </c:pt>
                <c:pt idx="821">
                  <c:v>52.19448585772917</c:v>
                </c:pt>
                <c:pt idx="822">
                  <c:v>52.194657942855351</c:v>
                </c:pt>
                <c:pt idx="823">
                  <c:v>52.19483002636953</c:v>
                </c:pt>
                <c:pt idx="824">
                  <c:v>52.195002108271623</c:v>
                </c:pt>
                <c:pt idx="825">
                  <c:v>52.195174188561673</c:v>
                </c:pt>
                <c:pt idx="826">
                  <c:v>52.195346267239728</c:v>
                </c:pt>
                <c:pt idx="827">
                  <c:v>52.19551834430569</c:v>
                </c:pt>
                <c:pt idx="828">
                  <c:v>52.195690419759629</c:v>
                </c:pt>
                <c:pt idx="829">
                  <c:v>52.195862493601545</c:v>
                </c:pt>
                <c:pt idx="830">
                  <c:v>52.196034565831454</c:v>
                </c:pt>
                <c:pt idx="831">
                  <c:v>52.196206636449368</c:v>
                </c:pt>
                <c:pt idx="832">
                  <c:v>52.196378705455267</c:v>
                </c:pt>
                <c:pt idx="833">
                  <c:v>52.196550772849143</c:v>
                </c:pt>
                <c:pt idx="834">
                  <c:v>52.196722838631032</c:v>
                </c:pt>
                <c:pt idx="835">
                  <c:v>52.196894902800956</c:v>
                </c:pt>
                <c:pt idx="836">
                  <c:v>52.197066965358864</c:v>
                </c:pt>
                <c:pt idx="837">
                  <c:v>52.197239026304814</c:v>
                </c:pt>
                <c:pt idx="838">
                  <c:v>52.19741108563877</c:v>
                </c:pt>
                <c:pt idx="839">
                  <c:v>52.197583143360788</c:v>
                </c:pt>
                <c:pt idx="840">
                  <c:v>52.197755199470798</c:v>
                </c:pt>
                <c:pt idx="841">
                  <c:v>52.197927253968864</c:v>
                </c:pt>
                <c:pt idx="842">
                  <c:v>52.198099306854999</c:v>
                </c:pt>
                <c:pt idx="843">
                  <c:v>52.198271358129169</c:v>
                </c:pt>
                <c:pt idx="844">
                  <c:v>52.198443407791402</c:v>
                </c:pt>
                <c:pt idx="845">
                  <c:v>52.198615455841704</c:v>
                </c:pt>
                <c:pt idx="846">
                  <c:v>52.198787502280091</c:v>
                </c:pt>
                <c:pt idx="847">
                  <c:v>52.198959547106512</c:v>
                </c:pt>
                <c:pt idx="848">
                  <c:v>52.199131590321031</c:v>
                </c:pt>
                <c:pt idx="849">
                  <c:v>52.199303631923648</c:v>
                </c:pt>
                <c:pt idx="850">
                  <c:v>52.199475671914342</c:v>
                </c:pt>
                <c:pt idx="851">
                  <c:v>52.199647710293121</c:v>
                </c:pt>
                <c:pt idx="852">
                  <c:v>52.199819747060026</c:v>
                </c:pt>
                <c:pt idx="853">
                  <c:v>52.199991782215037</c:v>
                </c:pt>
                <c:pt idx="854">
                  <c:v>52.200163815758152</c:v>
                </c:pt>
                <c:pt idx="855">
                  <c:v>52.200335847689381</c:v>
                </c:pt>
                <c:pt idx="856">
                  <c:v>52.20050787800875</c:v>
                </c:pt>
                <c:pt idx="857">
                  <c:v>52.200679906716218</c:v>
                </c:pt>
                <c:pt idx="858">
                  <c:v>52.200851933811862</c:v>
                </c:pt>
                <c:pt idx="859">
                  <c:v>52.20102395929564</c:v>
                </c:pt>
                <c:pt idx="860">
                  <c:v>52.201195983167516</c:v>
                </c:pt>
                <c:pt idx="861">
                  <c:v>52.201368005427582</c:v>
                </c:pt>
                <c:pt idx="862">
                  <c:v>52.201540026075811</c:v>
                </c:pt>
                <c:pt idx="863">
                  <c:v>52.201712045112188</c:v>
                </c:pt>
                <c:pt idx="864">
                  <c:v>52.20188406253672</c:v>
                </c:pt>
                <c:pt idx="865">
                  <c:v>52.202056078349472</c:v>
                </c:pt>
                <c:pt idx="866">
                  <c:v>52.202228092550335</c:v>
                </c:pt>
                <c:pt idx="867">
                  <c:v>52.202400105139418</c:v>
                </c:pt>
                <c:pt idx="868">
                  <c:v>52.202572116116684</c:v>
                </c:pt>
                <c:pt idx="869">
                  <c:v>52.202744125482184</c:v>
                </c:pt>
                <c:pt idx="870">
                  <c:v>52.202916133235867</c:v>
                </c:pt>
                <c:pt idx="871">
                  <c:v>52.203088139377712</c:v>
                </c:pt>
                <c:pt idx="872">
                  <c:v>52.203260143907798</c:v>
                </c:pt>
                <c:pt idx="873">
                  <c:v>52.203432146826117</c:v>
                </c:pt>
                <c:pt idx="874">
                  <c:v>52.203604148132627</c:v>
                </c:pt>
                <c:pt idx="875">
                  <c:v>52.203776147827398</c:v>
                </c:pt>
                <c:pt idx="876">
                  <c:v>52.203948145910374</c:v>
                </c:pt>
                <c:pt idx="877">
                  <c:v>52.204120142381583</c:v>
                </c:pt>
                <c:pt idx="878">
                  <c:v>52.20429213724104</c:v>
                </c:pt>
                <c:pt idx="879">
                  <c:v>52.204464130488766</c:v>
                </c:pt>
                <c:pt idx="880">
                  <c:v>52.204636122124761</c:v>
                </c:pt>
                <c:pt idx="881">
                  <c:v>52.204808112148989</c:v>
                </c:pt>
                <c:pt idx="882">
                  <c:v>52.204980100561485</c:v>
                </c:pt>
                <c:pt idx="883">
                  <c:v>52.205152087362244</c:v>
                </c:pt>
                <c:pt idx="884">
                  <c:v>52.205324072551313</c:v>
                </c:pt>
                <c:pt idx="885">
                  <c:v>52.205496056128624</c:v>
                </c:pt>
                <c:pt idx="886">
                  <c:v>52.205668038094238</c:v>
                </c:pt>
                <c:pt idx="887">
                  <c:v>52.205840018448143</c:v>
                </c:pt>
                <c:pt idx="888">
                  <c:v>52.206011997190352</c:v>
                </c:pt>
                <c:pt idx="889">
                  <c:v>52.206183974320844</c:v>
                </c:pt>
                <c:pt idx="890">
                  <c:v>52.206355949839676</c:v>
                </c:pt>
                <c:pt idx="891">
                  <c:v>52.206527923746826</c:v>
                </c:pt>
                <c:pt idx="892">
                  <c:v>52.206699896042267</c:v>
                </c:pt>
                <c:pt idx="893">
                  <c:v>52.206871866726054</c:v>
                </c:pt>
                <c:pt idx="894">
                  <c:v>52.207043835798189</c:v>
                </c:pt>
                <c:pt idx="895">
                  <c:v>52.207215803258627</c:v>
                </c:pt>
                <c:pt idx="896">
                  <c:v>52.207387769107434</c:v>
                </c:pt>
                <c:pt idx="897">
                  <c:v>52.207559733344588</c:v>
                </c:pt>
                <c:pt idx="898">
                  <c:v>52.207731695970104</c:v>
                </c:pt>
                <c:pt idx="899">
                  <c:v>52.207903656983973</c:v>
                </c:pt>
                <c:pt idx="900">
                  <c:v>52.208075616386182</c:v>
                </c:pt>
                <c:pt idx="901">
                  <c:v>52.208247574176788</c:v>
                </c:pt>
                <c:pt idx="902">
                  <c:v>52.208419530355748</c:v>
                </c:pt>
                <c:pt idx="903">
                  <c:v>52.208591484923076</c:v>
                </c:pt>
                <c:pt idx="904">
                  <c:v>52.208763437878829</c:v>
                </c:pt>
                <c:pt idx="905">
                  <c:v>52.208935389222972</c:v>
                </c:pt>
                <c:pt idx="906">
                  <c:v>52.209107338955491</c:v>
                </c:pt>
                <c:pt idx="907">
                  <c:v>52.20927928707642</c:v>
                </c:pt>
                <c:pt idx="908">
                  <c:v>52.209451233585774</c:v>
                </c:pt>
                <c:pt idx="909">
                  <c:v>52.209623178483504</c:v>
                </c:pt>
                <c:pt idx="910">
                  <c:v>52.209795121769702</c:v>
                </c:pt>
                <c:pt idx="911">
                  <c:v>52.209967063444267</c:v>
                </c:pt>
                <c:pt idx="912">
                  <c:v>52.210139003507294</c:v>
                </c:pt>
                <c:pt idx="913">
                  <c:v>52.210310941958788</c:v>
                </c:pt>
                <c:pt idx="914">
                  <c:v>52.210482878798672</c:v>
                </c:pt>
                <c:pt idx="915">
                  <c:v>52.210654814027031</c:v>
                </c:pt>
                <c:pt idx="916">
                  <c:v>52.210826747643821</c:v>
                </c:pt>
                <c:pt idx="917">
                  <c:v>52.210998679649073</c:v>
                </c:pt>
                <c:pt idx="918">
                  <c:v>52.211170610042799</c:v>
                </c:pt>
                <c:pt idx="919">
                  <c:v>52.211342538824979</c:v>
                </c:pt>
                <c:pt idx="920">
                  <c:v>52.211514465995656</c:v>
                </c:pt>
                <c:pt idx="921">
                  <c:v>52.211686391554807</c:v>
                </c:pt>
                <c:pt idx="922">
                  <c:v>52.211858315502411</c:v>
                </c:pt>
                <c:pt idx="923">
                  <c:v>52.21203023783854</c:v>
                </c:pt>
                <c:pt idx="924">
                  <c:v>52.212202158563166</c:v>
                </c:pt>
                <c:pt idx="925">
                  <c:v>52.212374077676266</c:v>
                </c:pt>
                <c:pt idx="926">
                  <c:v>52.212545995177877</c:v>
                </c:pt>
                <c:pt idx="927">
                  <c:v>52.212717911068026</c:v>
                </c:pt>
                <c:pt idx="928">
                  <c:v>52.212889825346679</c:v>
                </c:pt>
                <c:pt idx="929">
                  <c:v>52.21306173801387</c:v>
                </c:pt>
                <c:pt idx="930">
                  <c:v>52.213233649069572</c:v>
                </c:pt>
                <c:pt idx="931">
                  <c:v>52.213405558513792</c:v>
                </c:pt>
                <c:pt idx="932">
                  <c:v>52.213577466346592</c:v>
                </c:pt>
                <c:pt idx="933">
                  <c:v>52.213749372567911</c:v>
                </c:pt>
                <c:pt idx="934">
                  <c:v>52.213921277177796</c:v>
                </c:pt>
                <c:pt idx="935">
                  <c:v>52.214093180176221</c:v>
                </c:pt>
                <c:pt idx="936">
                  <c:v>52.214265081563205</c:v>
                </c:pt>
                <c:pt idx="937">
                  <c:v>52.214436981338736</c:v>
                </c:pt>
                <c:pt idx="938">
                  <c:v>52.214608879502862</c:v>
                </c:pt>
                <c:pt idx="939">
                  <c:v>52.214780776055576</c:v>
                </c:pt>
                <c:pt idx="940">
                  <c:v>52.214952670996858</c:v>
                </c:pt>
                <c:pt idx="941">
                  <c:v>52.215124564326722</c:v>
                </c:pt>
                <c:pt idx="942">
                  <c:v>52.215296456045188</c:v>
                </c:pt>
                <c:pt idx="943">
                  <c:v>52.21546834615225</c:v>
                </c:pt>
                <c:pt idx="944">
                  <c:v>52.215640234647935</c:v>
                </c:pt>
                <c:pt idx="945">
                  <c:v>52.215812121532224</c:v>
                </c:pt>
                <c:pt idx="946">
                  <c:v>52.215984006805151</c:v>
                </c:pt>
                <c:pt idx="947">
                  <c:v>52.21615589046668</c:v>
                </c:pt>
                <c:pt idx="948">
                  <c:v>52.216327772516841</c:v>
                </c:pt>
                <c:pt idx="949">
                  <c:v>52.216499652955619</c:v>
                </c:pt>
                <c:pt idx="950">
                  <c:v>52.216671531783078</c:v>
                </c:pt>
                <c:pt idx="951">
                  <c:v>52.216843408999118</c:v>
                </c:pt>
                <c:pt idx="952">
                  <c:v>52.217015284603846</c:v>
                </c:pt>
                <c:pt idx="953">
                  <c:v>52.21718715859722</c:v>
                </c:pt>
                <c:pt idx="954">
                  <c:v>52.217359030979225</c:v>
                </c:pt>
                <c:pt idx="955">
                  <c:v>52.217530901749974</c:v>
                </c:pt>
                <c:pt idx="956">
                  <c:v>52.217702770909305</c:v>
                </c:pt>
                <c:pt idx="957">
                  <c:v>52.217874638457374</c:v>
                </c:pt>
                <c:pt idx="958">
                  <c:v>52.218046504394096</c:v>
                </c:pt>
                <c:pt idx="959">
                  <c:v>52.21821836871954</c:v>
                </c:pt>
                <c:pt idx="960">
                  <c:v>52.218390231433624</c:v>
                </c:pt>
                <c:pt idx="961">
                  <c:v>52.218562092536423</c:v>
                </c:pt>
                <c:pt idx="962">
                  <c:v>52.218733952027961</c:v>
                </c:pt>
                <c:pt idx="963">
                  <c:v>52.218905809908172</c:v>
                </c:pt>
                <c:pt idx="964">
                  <c:v>52.219077666177121</c:v>
                </c:pt>
                <c:pt idx="965">
                  <c:v>52.219249520834758</c:v>
                </c:pt>
                <c:pt idx="966">
                  <c:v>52.21942137388114</c:v>
                </c:pt>
                <c:pt idx="967">
                  <c:v>52.21959322531626</c:v>
                </c:pt>
                <c:pt idx="968">
                  <c:v>52.219765075140124</c:v>
                </c:pt>
                <c:pt idx="969">
                  <c:v>52.219936923352719</c:v>
                </c:pt>
                <c:pt idx="970">
                  <c:v>52.220108769954074</c:v>
                </c:pt>
                <c:pt idx="971">
                  <c:v>52.220280614944151</c:v>
                </c:pt>
                <c:pt idx="972">
                  <c:v>52.220452458323038</c:v>
                </c:pt>
                <c:pt idx="973">
                  <c:v>52.22062430009067</c:v>
                </c:pt>
                <c:pt idx="974">
                  <c:v>52.220796140247053</c:v>
                </c:pt>
                <c:pt idx="975">
                  <c:v>52.220967978792224</c:v>
                </c:pt>
                <c:pt idx="976">
                  <c:v>52.221139815726168</c:v>
                </c:pt>
                <c:pt idx="977">
                  <c:v>52.221311651048886</c:v>
                </c:pt>
                <c:pt idx="978">
                  <c:v>52.221483484760377</c:v>
                </c:pt>
                <c:pt idx="979">
                  <c:v>52.22165531686074</c:v>
                </c:pt>
                <c:pt idx="980">
                  <c:v>52.221827147349835</c:v>
                </c:pt>
                <c:pt idx="981">
                  <c:v>52.221998976227745</c:v>
                </c:pt>
                <c:pt idx="982">
                  <c:v>52.222170803494492</c:v>
                </c:pt>
                <c:pt idx="983">
                  <c:v>52.222342629150084</c:v>
                </c:pt>
                <c:pt idx="984">
                  <c:v>52.222514453194485</c:v>
                </c:pt>
                <c:pt idx="985">
                  <c:v>52.222686275627701</c:v>
                </c:pt>
                <c:pt idx="986">
                  <c:v>52.222858096449755</c:v>
                </c:pt>
                <c:pt idx="987">
                  <c:v>52.223029915660682</c:v>
                </c:pt>
                <c:pt idx="988">
                  <c:v>52.223201733260403</c:v>
                </c:pt>
                <c:pt idx="989">
                  <c:v>52.223373549249018</c:v>
                </c:pt>
                <c:pt idx="990">
                  <c:v>52.223545363626471</c:v>
                </c:pt>
                <c:pt idx="991">
                  <c:v>52.223717176392753</c:v>
                </c:pt>
                <c:pt idx="992">
                  <c:v>52.223888987547973</c:v>
                </c:pt>
                <c:pt idx="993">
                  <c:v>52.224060797092022</c:v>
                </c:pt>
                <c:pt idx="994">
                  <c:v>52.224232605024966</c:v>
                </c:pt>
                <c:pt idx="995">
                  <c:v>52.224404411346811</c:v>
                </c:pt>
                <c:pt idx="996">
                  <c:v>52.224576216057521</c:v>
                </c:pt>
                <c:pt idx="997">
                  <c:v>52.224748019157133</c:v>
                </c:pt>
                <c:pt idx="998">
                  <c:v>52.224919820645653</c:v>
                </c:pt>
                <c:pt idx="999">
                  <c:v>52.225091620523052</c:v>
                </c:pt>
                <c:pt idx="1000">
                  <c:v>52.22526341878941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3-7045-93AD-06357D4B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97744"/>
        <c:axId val="1"/>
      </c:scatterChart>
      <c:valAx>
        <c:axId val="928997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Forces [N]</a:t>
                </a:r>
              </a:p>
            </c:rich>
          </c:tx>
          <c:layout>
            <c:manualLayout>
              <c:xMode val="edge"/>
              <c:yMode val="edge"/>
              <c:x val="2.0047169811320754E-2"/>
              <c:y val="0.333334383202099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28997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56931973537896"/>
          <c:y val="0.34616601298281663"/>
          <c:w val="0.12046826702267209"/>
          <c:h val="0.222230033026005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Courbes!$B$140</c:f>
          <c:strCache>
            <c:ptCount val="1"/>
            <c:pt idx="0">
              <c:v>Vitesse</c:v>
            </c:pt>
          </c:strCache>
        </c:strRef>
      </c:tx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95283018867926"/>
          <c:y val="9.4771544282144501E-2"/>
          <c:w val="0.87617924528302105"/>
          <c:h val="0.74183243282920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Courbes!$B$140</c:f>
              <c:strCache>
                <c:ptCount val="1"/>
                <c:pt idx="0">
                  <c:v>Vitesse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Calculs!$I$4:$I$1004</c:f>
              <c:numCache>
                <c:formatCode>0.00</c:formatCode>
                <c:ptCount val="1001"/>
                <c:pt idx="0">
                  <c:v>0</c:v>
                </c:pt>
                <c:pt idx="1">
                  <c:v>2.6567761249325167E-2</c:v>
                </c:pt>
                <c:pt idx="2">
                  <c:v>0.30179423370965214</c:v>
                </c:pt>
                <c:pt idx="3">
                  <c:v>0.82584975918383519</c:v>
                </c:pt>
                <c:pt idx="4">
                  <c:v>1.5989964172333926</c:v>
                </c:pt>
                <c:pt idx="5">
                  <c:v>2.6215868749237856</c:v>
                </c:pt>
                <c:pt idx="6">
                  <c:v>3.7679458152720833</c:v>
                </c:pt>
                <c:pt idx="7">
                  <c:v>4.9121044430789649</c:v>
                </c:pt>
                <c:pt idx="8">
                  <c:v>6.0540477692313566</c:v>
                </c:pt>
                <c:pt idx="9">
                  <c:v>7.1937608478210944</c:v>
                </c:pt>
                <c:pt idx="10">
                  <c:v>8.3312287768823623</c:v>
                </c:pt>
                <c:pt idx="11">
                  <c:v>9.466436699125147</c:v>
                </c:pt>
                <c:pt idx="12">
                  <c:v>10.599369802664615</c:v>
                </c:pt>
                <c:pt idx="13">
                  <c:v>11.730013321746359</c:v>
                </c:pt>
                <c:pt idx="14">
                  <c:v>12.858352537467365</c:v>
                </c:pt>
                <c:pt idx="15">
                  <c:v>13.984372778492693</c:v>
                </c:pt>
                <c:pt idx="16">
                  <c:v>15.108059421767738</c:v>
                </c:pt>
                <c:pt idx="17">
                  <c:v>16.229397893226007</c:v>
                </c:pt>
                <c:pt idx="18">
                  <c:v>17.348373668492332</c:v>
                </c:pt>
                <c:pt idx="19">
                  <c:v>18.464972273581441</c:v>
                </c:pt>
                <c:pt idx="20">
                  <c:v>19.579179285591803</c:v>
                </c:pt>
                <c:pt idx="21">
                  <c:v>20.690980333394691</c:v>
                </c:pt>
                <c:pt idx="22">
                  <c:v>21.800361098318319</c:v>
                </c:pt>
                <c:pt idx="23">
                  <c:v>22.907307314827094</c:v>
                </c:pt>
                <c:pt idx="24">
                  <c:v>24.011804771195777</c:v>
                </c:pt>
                <c:pt idx="25">
                  <c:v>25.113839310178584</c:v>
                </c:pt>
                <c:pt idx="26">
                  <c:v>26.213396829673083</c:v>
                </c:pt>
                <c:pt idx="27">
                  <c:v>27.310463283378851</c:v>
                </c:pt>
                <c:pt idx="28">
                  <c:v>28.405024681450843</c:v>
                </c:pt>
                <c:pt idx="29">
                  <c:v>29.497067091147294</c:v>
                </c:pt>
                <c:pt idx="30">
                  <c:v>30.586576637472231</c:v>
                </c:pt>
                <c:pt idx="31">
                  <c:v>31.673540618920999</c:v>
                </c:pt>
                <c:pt idx="32">
                  <c:v>32.757946442517216</c:v>
                </c:pt>
                <c:pt idx="33">
                  <c:v>33.839780348752079</c:v>
                </c:pt>
                <c:pt idx="34">
                  <c:v>34.91902864200604</c:v>
                </c:pt>
                <c:pt idx="35">
                  <c:v>35.995677690824536</c:v>
                </c:pt>
                <c:pt idx="36">
                  <c:v>37.06971392823872</c:v>
                </c:pt>
                <c:pt idx="37">
                  <c:v>38.141123852113054</c:v>
                </c:pt>
                <c:pt idx="38">
                  <c:v>39.20989402551514</c:v>
                </c:pt>
                <c:pt idx="39">
                  <c:v>40.276011077103888</c:v>
                </c:pt>
                <c:pt idx="40">
                  <c:v>41.339461701532763</c:v>
                </c:pt>
                <c:pt idx="41">
                  <c:v>42.400232659865289</c:v>
                </c:pt>
                <c:pt idx="42">
                  <c:v>43.458310780000531</c:v>
                </c:pt>
                <c:pt idx="43">
                  <c:v>44.51368295710644</c:v>
                </c:pt>
                <c:pt idx="44">
                  <c:v>45.566336154059371</c:v>
                </c:pt>
                <c:pt idx="45">
                  <c:v>46.616257401888291</c:v>
                </c:pt>
                <c:pt idx="46">
                  <c:v>47.663433800222272</c:v>
                </c:pt>
                <c:pt idx="47">
                  <c:v>48.707852517740328</c:v>
                </c:pt>
                <c:pt idx="48">
                  <c:v>49.749500792622307</c:v>
                </c:pt>
                <c:pt idx="49">
                  <c:v>50.788365933000286</c:v>
                </c:pt>
                <c:pt idx="50">
                  <c:v>51.824435317409467</c:v>
                </c:pt>
                <c:pt idx="51">
                  <c:v>52.858363868642172</c:v>
                </c:pt>
                <c:pt idx="52">
                  <c:v>53.890807814073646</c:v>
                </c:pt>
                <c:pt idx="53">
                  <c:v>54.921756422476228</c:v>
                </c:pt>
                <c:pt idx="54">
                  <c:v>55.951198994057343</c:v>
                </c:pt>
                <c:pt idx="55">
                  <c:v>56.979124860871288</c:v>
                </c:pt>
                <c:pt idx="56">
                  <c:v>58.005523387231626</c:v>
                </c:pt>
                <c:pt idx="57">
                  <c:v>59.030383970123957</c:v>
                </c:pt>
                <c:pt idx="58">
                  <c:v>60.053696039618607</c:v>
                </c:pt>
                <c:pt idx="59">
                  <c:v>61.075449059283152</c:v>
                </c:pt>
                <c:pt idx="60">
                  <c:v>62.095632526594407</c:v>
                </c:pt>
                <c:pt idx="61">
                  <c:v>63.114235973349778</c:v>
                </c:pt>
                <c:pt idx="62">
                  <c:v>64.131248966077607</c:v>
                </c:pt>
                <c:pt idx="63">
                  <c:v>65.14666110644653</c:v>
                </c:pt>
                <c:pt idx="64">
                  <c:v>66.160462031673589</c:v>
                </c:pt>
                <c:pt idx="65">
                  <c:v>67.172641414930808</c:v>
                </c:pt>
                <c:pt idx="66">
                  <c:v>68.183188965750276</c:v>
                </c:pt>
                <c:pt idx="67">
                  <c:v>69.192094430427616</c:v>
                </c:pt>
                <c:pt idx="68">
                  <c:v>70.19934759242345</c:v>
                </c:pt>
                <c:pt idx="69">
                  <c:v>71.204938272763044</c:v>
                </c:pt>
                <c:pt idx="70">
                  <c:v>72.208856330433832</c:v>
                </c:pt>
                <c:pt idx="71">
                  <c:v>73.211091662780845</c:v>
                </c:pt>
                <c:pt idx="72">
                  <c:v>74.211634205899728</c:v>
                </c:pt>
                <c:pt idx="73">
                  <c:v>75.210473935027537</c:v>
                </c:pt>
                <c:pt idx="74">
                  <c:v>76.207600864931038</c:v>
                </c:pt>
                <c:pt idx="75">
                  <c:v>77.203005050292461</c:v>
                </c:pt>
                <c:pt idx="76">
                  <c:v>78.196676586092579</c:v>
                </c:pt>
                <c:pt idx="77">
                  <c:v>79.188605607991278</c:v>
                </c:pt>
                <c:pt idx="78">
                  <c:v>80.178782292705137</c:v>
                </c:pt>
                <c:pt idx="79">
                  <c:v>81.16719685838234</c:v>
                </c:pt>
                <c:pt idx="80">
                  <c:v>82.153839564974561</c:v>
                </c:pt>
                <c:pt idx="81">
                  <c:v>83.138700714606102</c:v>
                </c:pt>
                <c:pt idx="82">
                  <c:v>84.121770651939684</c:v>
                </c:pt>
                <c:pt idx="83">
                  <c:v>85.103039764539488</c:v>
                </c:pt>
                <c:pt idx="84">
                  <c:v>86.082498483230836</c:v>
                </c:pt>
                <c:pt idx="85">
                  <c:v>87.060137282456793</c:v>
                </c:pt>
                <c:pt idx="86">
                  <c:v>88.035946680631469</c:v>
                </c:pt>
                <c:pt idx="87">
                  <c:v>89.009917240490125</c:v>
                </c:pt>
                <c:pt idx="88">
                  <c:v>89.982039569435827</c:v>
                </c:pt>
                <c:pt idx="89">
                  <c:v>90.952304319882785</c:v>
                </c:pt>
                <c:pt idx="90">
                  <c:v>91.920702189596298</c:v>
                </c:pt>
                <c:pt idx="91">
                  <c:v>92.887223922029165</c:v>
                </c:pt>
                <c:pt idx="92">
                  <c:v>93.851860306654629</c:v>
                </c:pt>
                <c:pt idx="93">
                  <c:v>94.814602179295775</c:v>
                </c:pt>
                <c:pt idx="94">
                  <c:v>95.775440422451325</c:v>
                </c:pt>
                <c:pt idx="95">
                  <c:v>96.73436596561784</c:v>
                </c:pt>
                <c:pt idx="96">
                  <c:v>97.691369785608217</c:v>
                </c:pt>
                <c:pt idx="97">
                  <c:v>98.646442906866625</c:v>
                </c:pt>
                <c:pt idx="98">
                  <c:v>99.599576401779487</c:v>
                </c:pt>
                <c:pt idx="99">
                  <c:v>100.550761390983</c:v>
                </c:pt>
                <c:pt idx="100">
                  <c:v>101.49998904366662</c:v>
                </c:pt>
                <c:pt idx="101">
                  <c:v>102.44694096916027</c:v>
                </c:pt>
                <c:pt idx="102">
                  <c:v>103.39129842467591</c:v>
                </c:pt>
                <c:pt idx="103">
                  <c:v>104.33305227361528</c:v>
                </c:pt>
                <c:pt idx="104">
                  <c:v>105.27219344734226</c:v>
                </c:pt>
                <c:pt idx="105">
                  <c:v>106.20871294544021</c:v>
                </c:pt>
                <c:pt idx="106">
                  <c:v>107.14260183596394</c:v>
                </c:pt>
                <c:pt idx="107">
                  <c:v>108.07385125568568</c:v>
                </c:pt>
                <c:pt idx="108">
                  <c:v>109.00245241033529</c:v>
                </c:pt>
                <c:pt idx="109">
                  <c:v>109.92839657483492</c:v>
                </c:pt>
                <c:pt idx="110">
                  <c:v>110.85167509352753</c:v>
                </c:pt>
                <c:pt idx="111">
                  <c:v>111.77227938039999</c:v>
                </c:pt>
                <c:pt idx="112">
                  <c:v>112.69020091929997</c:v>
                </c:pt>
                <c:pt idx="113">
                  <c:v>113.60543126414736</c:v>
                </c:pt>
                <c:pt idx="114">
                  <c:v>114.51796203913969</c:v>
                </c:pt>
                <c:pt idx="115">
                  <c:v>115.42778493895169</c:v>
                </c:pt>
                <c:pt idx="116">
                  <c:v>116.33489172892911</c:v>
                </c:pt>
                <c:pt idx="117">
                  <c:v>117.23927424527662</c:v>
                </c:pt>
                <c:pt idx="118">
                  <c:v>118.14092439523996</c:v>
                </c:pt>
                <c:pt idx="119">
                  <c:v>119.0398341572821</c:v>
                </c:pt>
                <c:pt idx="120">
                  <c:v>119.93599558125369</c:v>
                </c:pt>
                <c:pt idx="121">
                  <c:v>120.82940078855758</c:v>
                </c:pt>
                <c:pt idx="122">
                  <c:v>121.7200419723075</c:v>
                </c:pt>
                <c:pt idx="123">
                  <c:v>122.60791139748095</c:v>
                </c:pt>
                <c:pt idx="124">
                  <c:v>123.49300140106617</c:v>
                </c:pt>
                <c:pt idx="125">
                  <c:v>124.3753043922034</c:v>
                </c:pt>
                <c:pt idx="126">
                  <c:v>125.25481285232004</c:v>
                </c:pt>
                <c:pt idx="127">
                  <c:v>126.13151933526035</c:v>
                </c:pt>
                <c:pt idx="128">
                  <c:v>127.00541646740898</c:v>
                </c:pt>
                <c:pt idx="129">
                  <c:v>127.87649694780896</c:v>
                </c:pt>
                <c:pt idx="130">
                  <c:v>128.74475354827371</c:v>
                </c:pt>
                <c:pt idx="131">
                  <c:v>129.61017911349327</c:v>
                </c:pt>
                <c:pt idx="132">
                  <c:v>130.4727665611349</c:v>
                </c:pt>
                <c:pt idx="133">
                  <c:v>131.33250888193766</c:v>
                </c:pt>
                <c:pt idx="134">
                  <c:v>132.1893991398014</c:v>
                </c:pt>
                <c:pt idx="135">
                  <c:v>133.04343047187001</c:v>
                </c:pt>
                <c:pt idx="136">
                  <c:v>133.89459608860878</c:v>
                </c:pt>
                <c:pt idx="137">
                  <c:v>134.74288927387619</c:v>
                </c:pt>
                <c:pt idx="138">
                  <c:v>135.58830338498979</c:v>
                </c:pt>
                <c:pt idx="139">
                  <c:v>136.43083185278678</c:v>
                </c:pt>
                <c:pt idx="140">
                  <c:v>137.27046818167847</c:v>
                </c:pt>
                <c:pt idx="141">
                  <c:v>138.10720594969928</c:v>
                </c:pt>
                <c:pt idx="142">
                  <c:v>138.9410388085501</c:v>
                </c:pt>
                <c:pt idx="143">
                  <c:v>139.77196048363612</c:v>
                </c:pt>
                <c:pt idx="144">
                  <c:v>140.59996477409879</c:v>
                </c:pt>
                <c:pt idx="145">
                  <c:v>141.42504555284245</c:v>
                </c:pt>
                <c:pt idx="146">
                  <c:v>142.24719676655528</c:v>
                </c:pt>
                <c:pt idx="147">
                  <c:v>143.06641243572474</c:v>
                </c:pt>
                <c:pt idx="148">
                  <c:v>143.88268665464744</c:v>
                </c:pt>
                <c:pt idx="149">
                  <c:v>144.69601359143365</c:v>
                </c:pt>
                <c:pt idx="150">
                  <c:v>145.50638748800623</c:v>
                </c:pt>
                <c:pt idx="151">
                  <c:v>146.31390858727033</c:v>
                </c:pt>
                <c:pt idx="152">
                  <c:v>147.11867727929859</c:v>
                </c:pt>
                <c:pt idx="153">
                  <c:v>147.92068806472392</c:v>
                </c:pt>
                <c:pt idx="154">
                  <c:v>148.71993551206387</c:v>
                </c:pt>
                <c:pt idx="155">
                  <c:v>149.51641425771984</c:v>
                </c:pt>
                <c:pt idx="156">
                  <c:v>150.31011900597133</c:v>
                </c:pt>
                <c:pt idx="157">
                  <c:v>151.10104452896542</c:v>
                </c:pt>
                <c:pt idx="158">
                  <c:v>151.88918566670151</c:v>
                </c:pt>
                <c:pt idx="159">
                  <c:v>152.67453732701125</c:v>
                </c:pt>
                <c:pt idx="160">
                  <c:v>153.45709448553364</c:v>
                </c:pt>
                <c:pt idx="161">
                  <c:v>154.23685218568562</c:v>
                </c:pt>
                <c:pt idx="162">
                  <c:v>155.01380553862774</c:v>
                </c:pt>
                <c:pt idx="163">
                  <c:v>155.78794972322535</c:v>
                </c:pt>
                <c:pt idx="164">
                  <c:v>156.55927998600507</c:v>
                </c:pt>
                <c:pt idx="165">
                  <c:v>157.3277916411065</c:v>
                </c:pt>
                <c:pt idx="166">
                  <c:v>158.09348007022967</c:v>
                </c:pt>
                <c:pt idx="167">
                  <c:v>158.85634072257761</c:v>
                </c:pt>
                <c:pt idx="168">
                  <c:v>159.61636911479468</c:v>
                </c:pt>
                <c:pt idx="169">
                  <c:v>160.37356083089989</c:v>
                </c:pt>
                <c:pt idx="170">
                  <c:v>161.12791152221649</c:v>
                </c:pt>
                <c:pt idx="171">
                  <c:v>161.87941690729642</c:v>
                </c:pt>
                <c:pt idx="172">
                  <c:v>162.62807277184075</c:v>
                </c:pt>
                <c:pt idx="173">
                  <c:v>163.37387496861555</c:v>
                </c:pt>
                <c:pt idx="174">
                  <c:v>164.11681941736344</c:v>
                </c:pt>
                <c:pt idx="175">
                  <c:v>164.85690210471094</c:v>
                </c:pt>
                <c:pt idx="176">
                  <c:v>165.59411908407128</c:v>
                </c:pt>
                <c:pt idx="177">
                  <c:v>166.32846647554311</c:v>
                </c:pt>
                <c:pt idx="178">
                  <c:v>167.05994046580491</c:v>
                </c:pt>
                <c:pt idx="179">
                  <c:v>167.7885373080054</c:v>
                </c:pt>
                <c:pt idx="180">
                  <c:v>168.51425332164933</c:v>
                </c:pt>
                <c:pt idx="181">
                  <c:v>169.23708489247969</c:v>
                </c:pt>
                <c:pt idx="182">
                  <c:v>169.95702847235529</c:v>
                </c:pt>
                <c:pt idx="183">
                  <c:v>170.67408057912473</c:v>
                </c:pt>
                <c:pt idx="184">
                  <c:v>171.38823779649596</c:v>
                </c:pt>
                <c:pt idx="185">
                  <c:v>172.09949677390219</c:v>
                </c:pt>
                <c:pt idx="186">
                  <c:v>172.8078542263635</c:v>
                </c:pt>
                <c:pt idx="187">
                  <c:v>173.51330693434468</c:v>
                </c:pt>
                <c:pt idx="188">
                  <c:v>174.21585174360928</c:v>
                </c:pt>
                <c:pt idx="189">
                  <c:v>174.91548556506953</c:v>
                </c:pt>
                <c:pt idx="190">
                  <c:v>175.61220537463274</c:v>
                </c:pt>
                <c:pt idx="191">
                  <c:v>176.3060082130437</c:v>
                </c:pt>
                <c:pt idx="192">
                  <c:v>176.99689118572334</c:v>
                </c:pt>
                <c:pt idx="193">
                  <c:v>177.68485146260377</c:v>
                </c:pt>
                <c:pt idx="194">
                  <c:v>178.36988627795969</c:v>
                </c:pt>
                <c:pt idx="195">
                  <c:v>179.05199293023591</c:v>
                </c:pt>
                <c:pt idx="196">
                  <c:v>179.73116878187153</c:v>
                </c:pt>
                <c:pt idx="197">
                  <c:v>180.40741125912041</c:v>
                </c:pt>
                <c:pt idx="198">
                  <c:v>181.0807178518682</c:v>
                </c:pt>
                <c:pt idx="199">
                  <c:v>181.75108611344575</c:v>
                </c:pt>
                <c:pt idx="200">
                  <c:v>182.41851366043929</c:v>
                </c:pt>
                <c:pt idx="201">
                  <c:v>183.08299817249684</c:v>
                </c:pt>
                <c:pt idx="202">
                  <c:v>183.74453739213169</c:v>
                </c:pt>
                <c:pt idx="203">
                  <c:v>184.40312912452231</c:v>
                </c:pt>
                <c:pt idx="204">
                  <c:v>185.05877123730866</c:v>
                </c:pt>
                <c:pt idx="205">
                  <c:v>185.71146166038599</c:v>
                </c:pt>
                <c:pt idx="206">
                  <c:v>186.36119838569476</c:v>
                </c:pt>
                <c:pt idx="207">
                  <c:v>187.00797946700754</c:v>
                </c:pt>
                <c:pt idx="208">
                  <c:v>187.65180301971301</c:v>
                </c:pt>
                <c:pt idx="209">
                  <c:v>188.2926672205966</c:v>
                </c:pt>
                <c:pt idx="210">
                  <c:v>188.93057030761815</c:v>
                </c:pt>
                <c:pt idx="211">
                  <c:v>189.56551057968667</c:v>
                </c:pt>
                <c:pt idx="212">
                  <c:v>190.19748639643191</c:v>
                </c:pt>
                <c:pt idx="213">
                  <c:v>190.8264961779731</c:v>
                </c:pt>
                <c:pt idx="214">
                  <c:v>191.45253840468482</c:v>
                </c:pt>
                <c:pt idx="215">
                  <c:v>192.07561161695995</c:v>
                </c:pt>
                <c:pt idx="216">
                  <c:v>192.69571441496998</c:v>
                </c:pt>
                <c:pt idx="217">
                  <c:v>193.31284545842203</c:v>
                </c:pt>
                <c:pt idx="218">
                  <c:v>193.92700346631392</c:v>
                </c:pt>
                <c:pt idx="219">
                  <c:v>194.53818721668583</c:v>
                </c:pt>
                <c:pt idx="220">
                  <c:v>195.14639554636972</c:v>
                </c:pt>
                <c:pt idx="221">
                  <c:v>195.75162735073599</c:v>
                </c:pt>
                <c:pt idx="222">
                  <c:v>196.35388158343747</c:v>
                </c:pt>
                <c:pt idx="223">
                  <c:v>196.95315725615126</c:v>
                </c:pt>
                <c:pt idx="224">
                  <c:v>197.5494534383175</c:v>
                </c:pt>
                <c:pt idx="225">
                  <c:v>198.14276925687619</c:v>
                </c:pt>
                <c:pt idx="226">
                  <c:v>198.73310389600132</c:v>
                </c:pt>
                <c:pt idx="227">
                  <c:v>199.32045659683283</c:v>
                </c:pt>
                <c:pt idx="228">
                  <c:v>199.90482665720589</c:v>
                </c:pt>
                <c:pt idx="229">
                  <c:v>200.48621343137842</c:v>
                </c:pt>
                <c:pt idx="230">
                  <c:v>201.06461632975581</c:v>
                </c:pt>
                <c:pt idx="231">
                  <c:v>201.64003481861388</c:v>
                </c:pt>
                <c:pt idx="232">
                  <c:v>202.21246841981937</c:v>
                </c:pt>
                <c:pt idx="233">
                  <c:v>202.78191671054853</c:v>
                </c:pt>
                <c:pt idx="234">
                  <c:v>203.34837932300329</c:v>
                </c:pt>
                <c:pt idx="235">
                  <c:v>203.91185594412588</c:v>
                </c:pt>
                <c:pt idx="236">
                  <c:v>204.47234631531103</c:v>
                </c:pt>
                <c:pt idx="237">
                  <c:v>205.02985023211636</c:v>
                </c:pt>
                <c:pt idx="238">
                  <c:v>205.58436754397087</c:v>
                </c:pt>
                <c:pt idx="239">
                  <c:v>206.13589815388141</c:v>
                </c:pt>
                <c:pt idx="240">
                  <c:v>206.68444201813764</c:v>
                </c:pt>
                <c:pt idx="241">
                  <c:v>207.22999914601471</c:v>
                </c:pt>
                <c:pt idx="242">
                  <c:v>207.77256959947448</c:v>
                </c:pt>
                <c:pt idx="243">
                  <c:v>208.31215349286518</c:v>
                </c:pt>
                <c:pt idx="244">
                  <c:v>208.84875099261882</c:v>
                </c:pt>
                <c:pt idx="245">
                  <c:v>209.38236231694759</c:v>
                </c:pt>
                <c:pt idx="246">
                  <c:v>209.91298773553822</c:v>
                </c:pt>
                <c:pt idx="247">
                  <c:v>210.44062756924501</c:v>
                </c:pt>
                <c:pt idx="248">
                  <c:v>210.96528218978111</c:v>
                </c:pt>
                <c:pt idx="249">
                  <c:v>211.4869520194087</c:v>
                </c:pt>
                <c:pt idx="250">
                  <c:v>212.00563753062724</c:v>
                </c:pt>
                <c:pt idx="251">
                  <c:v>212.52087807469556</c:v>
                </c:pt>
                <c:pt idx="252">
                  <c:v>213.03221321446705</c:v>
                </c:pt>
                <c:pt idx="253">
                  <c:v>213.53964428171156</c:v>
                </c:pt>
                <c:pt idx="254">
                  <c:v>214.04317267638487</c:v>
                </c:pt>
                <c:pt idx="255">
                  <c:v>214.54279986609887</c:v>
                </c:pt>
                <c:pt idx="256">
                  <c:v>215.03852738558953</c:v>
                </c:pt>
                <c:pt idx="257">
                  <c:v>215.53035683618387</c:v>
                </c:pt>
                <c:pt idx="258">
                  <c:v>216.01828988526529</c:v>
                </c:pt>
                <c:pt idx="259">
                  <c:v>216.50232826573736</c:v>
                </c:pt>
                <c:pt idx="260">
                  <c:v>216.98247377548654</c:v>
                </c:pt>
                <c:pt idx="261">
                  <c:v>217.45872827684363</c:v>
                </c:pt>
                <c:pt idx="262">
                  <c:v>217.9310936960436</c:v>
                </c:pt>
                <c:pt idx="263">
                  <c:v>218.39957202268499</c:v>
                </c:pt>
                <c:pt idx="264">
                  <c:v>218.86416530918763</c:v>
                </c:pt>
                <c:pt idx="265">
                  <c:v>219.32487567024975</c:v>
                </c:pt>
                <c:pt idx="266">
                  <c:v>219.78170528230402</c:v>
                </c:pt>
                <c:pt idx="267">
                  <c:v>220.23465638297276</c:v>
                </c:pt>
                <c:pt idx="268">
                  <c:v>220.68373127052226</c:v>
                </c:pt>
                <c:pt idx="269">
                  <c:v>221.12893230331653</c:v>
                </c:pt>
                <c:pt idx="270">
                  <c:v>221.57026189927024</c:v>
                </c:pt>
                <c:pt idx="271">
                  <c:v>222.00772253530116</c:v>
                </c:pt>
                <c:pt idx="272">
                  <c:v>222.44131674678175</c:v>
                </c:pt>
                <c:pt idx="273">
                  <c:v>222.87104712699096</c:v>
                </c:pt>
                <c:pt idx="274">
                  <c:v>223.29691632656468</c:v>
                </c:pt>
                <c:pt idx="275">
                  <c:v>223.71892705294647</c:v>
                </c:pt>
                <c:pt idx="276">
                  <c:v>224.1370820698379</c:v>
                </c:pt>
                <c:pt idx="277">
                  <c:v>224.55138419664826</c:v>
                </c:pt>
                <c:pt idx="278">
                  <c:v>224.96183630794474</c:v>
                </c:pt>
                <c:pt idx="279">
                  <c:v>225.36844133290174</c:v>
                </c:pt>
                <c:pt idx="280">
                  <c:v>225.77120225475059</c:v>
                </c:pt>
                <c:pt idx="281">
                  <c:v>226.17012211022916</c:v>
                </c:pt>
                <c:pt idx="282">
                  <c:v>226.5652039890314</c:v>
                </c:pt>
                <c:pt idx="283">
                  <c:v>226.9564510332572</c:v>
                </c:pt>
                <c:pt idx="284">
                  <c:v>227.3438664368619</c:v>
                </c:pt>
                <c:pt idx="285">
                  <c:v>227.72745344510668</c:v>
                </c:pt>
                <c:pt idx="286">
                  <c:v>228.10721535400876</c:v>
                </c:pt>
                <c:pt idx="287">
                  <c:v>228.48315550979194</c:v>
                </c:pt>
                <c:pt idx="288">
                  <c:v>228.85527730833752</c:v>
                </c:pt>
                <c:pt idx="289">
                  <c:v>229.22358419463603</c:v>
                </c:pt>
                <c:pt idx="290">
                  <c:v>229.58807966223864</c:v>
                </c:pt>
                <c:pt idx="291">
                  <c:v>229.9487672527099</c:v>
                </c:pt>
                <c:pt idx="292">
                  <c:v>230.30565055508049</c:v>
                </c:pt>
                <c:pt idx="293">
                  <c:v>230.65873320530071</c:v>
                </c:pt>
                <c:pt idx="294">
                  <c:v>231.00801888569492</c:v>
                </c:pt>
                <c:pt idx="295">
                  <c:v>231.35351132441639</c:v>
                </c:pt>
                <c:pt idx="296">
                  <c:v>231.69521429490285</c:v>
                </c:pt>
                <c:pt idx="297">
                  <c:v>232.03313161533322</c:v>
                </c:pt>
                <c:pt idx="298">
                  <c:v>232.36218834179704</c:v>
                </c:pt>
                <c:pt idx="299">
                  <c:v>232.67731397826464</c:v>
                </c:pt>
                <c:pt idx="300">
                  <c:v>232.97852483979062</c:v>
                </c:pt>
                <c:pt idx="301">
                  <c:v>233.26583759996066</c:v>
                </c:pt>
                <c:pt idx="302">
                  <c:v>233.53926928445918</c:v>
                </c:pt>
                <c:pt idx="303">
                  <c:v>233.79883726464288</c:v>
                </c:pt>
                <c:pt idx="304">
                  <c:v>234.04455925112239</c:v>
                </c:pt>
                <c:pt idx="305">
                  <c:v>234.2764532873519</c:v>
                </c:pt>
                <c:pt idx="306">
                  <c:v>234.49453774322944</c:v>
                </c:pt>
                <c:pt idx="307">
                  <c:v>234.69883130870863</c:v>
                </c:pt>
                <c:pt idx="308">
                  <c:v>234.88935298742277</c:v>
                </c:pt>
                <c:pt idx="309">
                  <c:v>235.06612209032295</c:v>
                </c:pt>
                <c:pt idx="310">
                  <c:v>235.22915822933172</c:v>
                </c:pt>
                <c:pt idx="311">
                  <c:v>235.37848131101222</c:v>
                </c:pt>
                <c:pt idx="312">
                  <c:v>235.51411153025595</c:v>
                </c:pt>
                <c:pt idx="313">
                  <c:v>235.63606936398813</c:v>
                </c:pt>
                <c:pt idx="314">
                  <c:v>235.74437556489349</c:v>
                </c:pt>
                <c:pt idx="315">
                  <c:v>235.83905115516268</c:v>
                </c:pt>
                <c:pt idx="316">
                  <c:v>235.92011742026068</c:v>
                </c:pt>
                <c:pt idx="317">
                  <c:v>235.98759590271814</c:v>
                </c:pt>
                <c:pt idx="318">
                  <c:v>236.04150839594661</c:v>
                </c:pt>
                <c:pt idx="319">
                  <c:v>236.08187693807903</c:v>
                </c:pt>
                <c:pt idx="320">
                  <c:v>236.10872380583589</c:v>
                </c:pt>
                <c:pt idx="321">
                  <c:v>236.12409341028624</c:v>
                </c:pt>
                <c:pt idx="322">
                  <c:v>236.13002728479427</c:v>
                </c:pt>
                <c:pt idx="323">
                  <c:v>236.12654139933977</c:v>
                </c:pt>
                <c:pt idx="324">
                  <c:v>236.11365181852113</c:v>
                </c:pt>
                <c:pt idx="325">
                  <c:v>236.09137469864697</c:v>
                </c:pt>
                <c:pt idx="326">
                  <c:v>236.05972628484525</c:v>
                </c:pt>
                <c:pt idx="327">
                  <c:v>236.01872290819006</c:v>
                </c:pt>
                <c:pt idx="328">
                  <c:v>235.96838098284647</c:v>
                </c:pt>
                <c:pt idx="329">
                  <c:v>235.90871700323356</c:v>
                </c:pt>
                <c:pt idx="330">
                  <c:v>235.83974754120587</c:v>
                </c:pt>
                <c:pt idx="331">
                  <c:v>235.76148924325346</c:v>
                </c:pt>
                <c:pt idx="332">
                  <c:v>235.67395882772084</c:v>
                </c:pt>
                <c:pt idx="333">
                  <c:v>235.57717308204474</c:v>
                </c:pt>
                <c:pt idx="334">
                  <c:v>235.47114886001128</c:v>
                </c:pt>
                <c:pt idx="335">
                  <c:v>235.35590307903232</c:v>
                </c:pt>
                <c:pt idx="336">
                  <c:v>235.23145271744127</c:v>
                </c:pt>
                <c:pt idx="337">
                  <c:v>235.09781481180872</c:v>
                </c:pt>
                <c:pt idx="338">
                  <c:v>234.95500645427754</c:v>
                </c:pt>
                <c:pt idx="339">
                  <c:v>234.80304478991849</c:v>
                </c:pt>
                <c:pt idx="340">
                  <c:v>234.64194701410514</c:v>
                </c:pt>
                <c:pt idx="341">
                  <c:v>234.47173036990969</c:v>
                </c:pt>
                <c:pt idx="342">
                  <c:v>234.29241214551854</c:v>
                </c:pt>
                <c:pt idx="343">
                  <c:v>234.10400967166856</c:v>
                </c:pt>
                <c:pt idx="344">
                  <c:v>233.90654031910387</c:v>
                </c:pt>
                <c:pt idx="345">
                  <c:v>233.70002149605293</c:v>
                </c:pt>
                <c:pt idx="346">
                  <c:v>233.48447064572679</c:v>
                </c:pt>
                <c:pt idx="347">
                  <c:v>233.25990524383769</c:v>
                </c:pt>
                <c:pt idx="348">
                  <c:v>233.02656095788657</c:v>
                </c:pt>
                <c:pt idx="349">
                  <c:v>232.78467304668814</c:v>
                </c:pt>
                <c:pt idx="350">
                  <c:v>232.53425817157836</c:v>
                </c:pt>
                <c:pt idx="351">
                  <c:v>232.27533301026881</c:v>
                </c:pt>
                <c:pt idx="352">
                  <c:v>232.00791425471576</c:v>
                </c:pt>
                <c:pt idx="353">
                  <c:v>231.73201860900861</c:v>
                </c:pt>
                <c:pt idx="354">
                  <c:v>231.44766278727735</c:v>
                </c:pt>
                <c:pt idx="355">
                  <c:v>231.15486351161934</c:v>
                </c:pt>
                <c:pt idx="356">
                  <c:v>230.85363751004513</c:v>
                </c:pt>
                <c:pt idx="357">
                  <c:v>230.54400151444372</c:v>
                </c:pt>
                <c:pt idx="358">
                  <c:v>230.225972258567</c:v>
                </c:pt>
                <c:pt idx="359">
                  <c:v>229.89956647603307</c:v>
                </c:pt>
                <c:pt idx="360">
                  <c:v>229.5693381776471</c:v>
                </c:pt>
                <c:pt idx="361">
                  <c:v>229.23983158263198</c:v>
                </c:pt>
                <c:pt idx="362">
                  <c:v>228.91104388260905</c:v>
                </c:pt>
                <c:pt idx="363">
                  <c:v>228.58297228377185</c:v>
                </c:pt>
                <c:pt idx="364">
                  <c:v>228.25561400679086</c:v>
                </c:pt>
                <c:pt idx="365">
                  <c:v>227.92896628671917</c:v>
                </c:pt>
                <c:pt idx="366">
                  <c:v>227.6030263728984</c:v>
                </c:pt>
                <c:pt idx="367">
                  <c:v>227.277791528866</c:v>
                </c:pt>
                <c:pt idx="368">
                  <c:v>226.95325903226265</c:v>
                </c:pt>
                <c:pt idx="369">
                  <c:v>226.62942617474093</c:v>
                </c:pt>
                <c:pt idx="370">
                  <c:v>226.3062902618743</c:v>
                </c:pt>
                <c:pt idx="371">
                  <c:v>225.98384861306701</c:v>
                </c:pt>
                <c:pt idx="372">
                  <c:v>225.66209856146457</c:v>
                </c:pt>
                <c:pt idx="373">
                  <c:v>225.34103745386514</c:v>
                </c:pt>
                <c:pt idx="374">
                  <c:v>225.02066265063127</c:v>
                </c:pt>
                <c:pt idx="375">
                  <c:v>224.70097152560274</c:v>
                </c:pt>
                <c:pt idx="376">
                  <c:v>224.38196146600967</c:v>
                </c:pt>
                <c:pt idx="377">
                  <c:v>224.06362987238654</c:v>
                </c:pt>
                <c:pt idx="378">
                  <c:v>223.74597415848694</c:v>
                </c:pt>
                <c:pt idx="379">
                  <c:v>223.42899175119871</c:v>
                </c:pt>
                <c:pt idx="380">
                  <c:v>223.11268009045989</c:v>
                </c:pt>
                <c:pt idx="381">
                  <c:v>222.79703662917544</c:v>
                </c:pt>
                <c:pt idx="382">
                  <c:v>222.4820588331344</c:v>
                </c:pt>
                <c:pt idx="383">
                  <c:v>222.16774418092777</c:v>
                </c:pt>
                <c:pt idx="384">
                  <c:v>221.854090163867</c:v>
                </c:pt>
                <c:pt idx="385">
                  <c:v>221.54109428590309</c:v>
                </c:pt>
                <c:pt idx="386">
                  <c:v>221.22875406354649</c:v>
                </c:pt>
                <c:pt idx="387">
                  <c:v>220.91706702578719</c:v>
                </c:pt>
                <c:pt idx="388">
                  <c:v>220.60603071401599</c:v>
                </c:pt>
                <c:pt idx="389">
                  <c:v>220.29564268194579</c:v>
                </c:pt>
                <c:pt idx="390">
                  <c:v>219.98590049553408</c:v>
                </c:pt>
                <c:pt idx="391">
                  <c:v>219.67680173290535</c:v>
                </c:pt>
                <c:pt idx="392">
                  <c:v>219.36834398427467</c:v>
                </c:pt>
                <c:pt idx="393">
                  <c:v>219.06052485187152</c:v>
                </c:pt>
                <c:pt idx="394">
                  <c:v>218.75334194986439</c:v>
                </c:pt>
                <c:pt idx="395">
                  <c:v>218.44679290428567</c:v>
                </c:pt>
                <c:pt idx="396">
                  <c:v>218.14087535295764</c:v>
                </c:pt>
                <c:pt idx="397">
                  <c:v>217.83558694541819</c:v>
                </c:pt>
                <c:pt idx="398">
                  <c:v>217.53092534284801</c:v>
                </c:pt>
                <c:pt idx="399">
                  <c:v>217.22688821799767</c:v>
                </c:pt>
                <c:pt idx="400">
                  <c:v>216.92347325511557</c:v>
                </c:pt>
                <c:pt idx="401">
                  <c:v>213.89554869072074</c:v>
                </c:pt>
                <c:pt idx="402">
                  <c:v>210.92888000169413</c:v>
                </c:pt>
                <c:pt idx="403">
                  <c:v>208.0212391001501</c:v>
                </c:pt>
                <c:pt idx="404">
                  <c:v>205.17050472797868</c:v>
                </c:pt>
                <c:pt idx="405">
                  <c:v>202.37465605961324</c:v>
                </c:pt>
                <c:pt idx="406">
                  <c:v>199.63176676179842</c:v>
                </c:pt>
                <c:pt idx="407">
                  <c:v>196.93999947256739</c:v>
                </c:pt>
                <c:pt idx="408">
                  <c:v>194.29760066517932</c:v>
                </c:pt>
                <c:pt idx="409">
                  <c:v>191.70289586594058</c:v>
                </c:pt>
                <c:pt idx="410">
                  <c:v>189.15428519767732</c:v>
                </c:pt>
                <c:pt idx="411">
                  <c:v>186.65023922318255</c:v>
                </c:pt>
                <c:pt idx="412">
                  <c:v>184.1892950652564</c:v>
                </c:pt>
                <c:pt idx="413">
                  <c:v>181.77005278202711</c:v>
                </c:pt>
                <c:pt idx="414">
                  <c:v>179.39117197810268</c:v>
                </c:pt>
                <c:pt idx="415">
                  <c:v>177.05136863378601</c:v>
                </c:pt>
                <c:pt idx="416">
                  <c:v>174.74941213610586</c:v>
                </c:pt>
                <c:pt idx="417">
                  <c:v>172.48412249679043</c:v>
                </c:pt>
                <c:pt idx="418">
                  <c:v>170.2543677435558</c:v>
                </c:pt>
                <c:pt idx="419">
                  <c:v>168.05906147220986</c:v>
                </c:pt>
                <c:pt idx="420">
                  <c:v>165.89716054809722</c:v>
                </c:pt>
                <c:pt idx="421">
                  <c:v>163.76766294634083</c:v>
                </c:pt>
                <c:pt idx="422">
                  <c:v>161.66960572118401</c:v>
                </c:pt>
                <c:pt idx="423">
                  <c:v>159.60206309550551</c:v>
                </c:pt>
                <c:pt idx="424">
                  <c:v>157.56414466228446</c:v>
                </c:pt>
                <c:pt idx="425">
                  <c:v>155.55499369043252</c:v>
                </c:pt>
                <c:pt idx="426">
                  <c:v>153.57378552799491</c:v>
                </c:pt>
                <c:pt idx="427">
                  <c:v>151.6197260962586</c:v>
                </c:pt>
                <c:pt idx="428">
                  <c:v>149.69205046879378</c:v>
                </c:pt>
                <c:pt idx="429">
                  <c:v>147.79002152990407</c:v>
                </c:pt>
                <c:pt idx="430">
                  <c:v>145.91292870737101</c:v>
                </c:pt>
                <c:pt idx="431">
                  <c:v>144.06008677475566</c:v>
                </c:pt>
                <c:pt idx="432">
                  <c:v>142.23083471886594</c:v>
                </c:pt>
                <c:pt idx="433">
                  <c:v>140.4245346683162</c:v>
                </c:pt>
                <c:pt idx="434">
                  <c:v>138.64057087939861</c:v>
                </c:pt>
                <c:pt idx="435">
                  <c:v>136.87834877575449</c:v>
                </c:pt>
                <c:pt idx="436">
                  <c:v>135.13729403858184</c:v>
                </c:pt>
                <c:pt idx="437">
                  <c:v>133.41685174434528</c:v>
                </c:pt>
                <c:pt idx="438">
                  <c:v>131.71648554716359</c:v>
                </c:pt>
                <c:pt idx="439">
                  <c:v>130.03567690324763</c:v>
                </c:pt>
                <c:pt idx="440">
                  <c:v>128.37392433493912</c:v>
                </c:pt>
                <c:pt idx="441">
                  <c:v>126.7307427320703</c:v>
                </c:pt>
                <c:pt idx="442">
                  <c:v>125.10566268851653</c:v>
                </c:pt>
                <c:pt idx="443">
                  <c:v>123.49822987195917</c:v>
                </c:pt>
                <c:pt idx="444">
                  <c:v>121.90800442500748</c:v>
                </c:pt>
                <c:pt idx="445">
                  <c:v>120.33456039595295</c:v>
                </c:pt>
                <c:pt idx="446">
                  <c:v>118.77748519754344</c:v>
                </c:pt>
                <c:pt idx="447">
                  <c:v>117.23637909227156</c:v>
                </c:pt>
                <c:pt idx="448">
                  <c:v>115.71085470277154</c:v>
                </c:pt>
                <c:pt idx="449">
                  <c:v>114.20053654601129</c:v>
                </c:pt>
                <c:pt idx="450">
                  <c:v>112.70506059005315</c:v>
                </c:pt>
                <c:pt idx="451">
                  <c:v>111.2240738322382</c:v>
                </c:pt>
                <c:pt idx="452">
                  <c:v>109.75723389772465</c:v>
                </c:pt>
                <c:pt idx="453">
                  <c:v>108.30420865738216</c:v>
                </c:pt>
                <c:pt idx="454">
                  <c:v>106.86467586411095</c:v>
                </c:pt>
                <c:pt idx="455">
                  <c:v>105.43832280671764</c:v>
                </c:pt>
                <c:pt idx="456">
                  <c:v>104.0248459805392</c:v>
                </c:pt>
                <c:pt idx="457">
                  <c:v>102.62395077406241</c:v>
                </c:pt>
                <c:pt idx="458">
                  <c:v>101.23535117084009</c:v>
                </c:pt>
                <c:pt idx="459">
                  <c:v>99.858769466055577</c:v>
                </c:pt>
                <c:pt idx="460">
                  <c:v>98.493935997135395</c:v>
                </c:pt>
                <c:pt idx="461">
                  <c:v>97.140588887856723</c:v>
                </c:pt>
                <c:pt idx="462">
                  <c:v>95.798473805440224</c:v>
                </c:pt>
                <c:pt idx="463">
                  <c:v>94.467343730162156</c:v>
                </c:pt>
                <c:pt idx="464">
                  <c:v>93.146958737060956</c:v>
                </c:pt>
                <c:pt idx="465">
                  <c:v>91.837085789354589</c:v>
                </c:pt>
                <c:pt idx="466">
                  <c:v>90.537498543223975</c:v>
                </c:pt>
                <c:pt idx="467">
                  <c:v>89.247977163657765</c:v>
                </c:pt>
                <c:pt idx="468">
                  <c:v>87.968308151091875</c:v>
                </c:pt>
                <c:pt idx="469">
                  <c:v>86.698284178616717</c:v>
                </c:pt>
                <c:pt idx="470">
                  <c:v>85.437703939563519</c:v>
                </c:pt>
                <c:pt idx="471">
                  <c:v>84.186372005321203</c:v>
                </c:pt>
                <c:pt idx="472">
                  <c:v>82.944098693275009</c:v>
                </c:pt>
                <c:pt idx="473">
                  <c:v>81.710699944800467</c:v>
                </c:pt>
                <c:pt idx="474">
                  <c:v>80.485997213288186</c:v>
                </c:pt>
                <c:pt idx="475">
                  <c:v>79.26981736222109</c:v>
                </c:pt>
                <c:pt idx="476">
                  <c:v>78.06199257337164</c:v>
                </c:pt>
                <c:pt idx="477">
                  <c:v>76.862360265237456</c:v>
                </c:pt>
                <c:pt idx="478">
                  <c:v>75.670763021886515</c:v>
                </c:pt>
                <c:pt idx="479">
                  <c:v>74.487048532440141</c:v>
                </c:pt>
                <c:pt idx="480">
                  <c:v>73.311069541483803</c:v>
                </c:pt>
                <c:pt idx="481">
                  <c:v>72.142683810762179</c:v>
                </c:pt>
                <c:pt idx="482">
                  <c:v>70.981754092588034</c:v>
                </c:pt>
                <c:pt idx="483">
                  <c:v>69.828148115473923</c:v>
                </c:pt>
                <c:pt idx="484">
                  <c:v>68.681738582583819</c:v>
                </c:pt>
                <c:pt idx="485">
                  <c:v>67.542403183698369</c:v>
                </c:pt>
                <c:pt idx="486">
                  <c:v>66.41002462149531</c:v>
                </c:pt>
                <c:pt idx="487">
                  <c:v>65.284490653066129</c:v>
                </c:pt>
                <c:pt idx="488">
                  <c:v>64.165694147723769</c:v>
                </c:pt>
                <c:pt idx="489">
                  <c:v>63.053533162305435</c:v>
                </c:pt>
                <c:pt idx="490">
                  <c:v>61.947911035343296</c:v>
                </c:pt>
                <c:pt idx="491">
                  <c:v>60.848736501663979</c:v>
                </c:pt>
                <c:pt idx="492">
                  <c:v>59.755923829191794</c:v>
                </c:pt>
                <c:pt idx="493">
                  <c:v>58.669392979971605</c:v>
                </c:pt>
                <c:pt idx="494">
                  <c:v>57.589069797700404</c:v>
                </c:pt>
                <c:pt idx="495">
                  <c:v>56.514886224367324</c:v>
                </c:pt>
                <c:pt idx="496">
                  <c:v>55.446780548954315</c:v>
                </c:pt>
                <c:pt idx="497">
                  <c:v>54.384697691552411</c:v>
                </c:pt>
                <c:pt idx="498">
                  <c:v>53.328589526707098</c:v>
                </c:pt>
                <c:pt idx="499">
                  <c:v>52.278415250331321</c:v>
                </c:pt>
                <c:pt idx="500">
                  <c:v>51.234141795125339</c:v>
                </c:pt>
                <c:pt idx="501">
                  <c:v>50.195744300131636</c:v>
                </c:pt>
                <c:pt idx="502">
                  <c:v>49.163206640843612</c:v>
                </c:pt>
                <c:pt idx="503">
                  <c:v>48.13652202719588</c:v>
                </c:pt>
                <c:pt idx="504">
                  <c:v>47.115693677809922</c:v>
                </c:pt>
                <c:pt idx="505">
                  <c:v>46.100735580073234</c:v>
                </c:pt>
                <c:pt idx="506">
                  <c:v>45.091673347018883</c:v>
                </c:pt>
                <c:pt idx="507">
                  <c:v>44.088545183573814</c:v>
                </c:pt>
                <c:pt idx="508">
                  <c:v>43.091402976592235</c:v>
                </c:pt>
                <c:pt idx="509">
                  <c:v>42.100313525223292</c:v>
                </c:pt>
                <c:pt idx="510">
                  <c:v>41.115359930622681</c:v>
                </c:pt>
                <c:pt idx="511">
                  <c:v>40.136643166855592</c:v>
                </c:pt>
                <c:pt idx="512">
                  <c:v>39.164283858107112</c:v>
                </c:pt>
                <c:pt idx="513">
                  <c:v>38.19842429107495</c:v>
                </c:pt>
                <c:pt idx="514">
                  <c:v>37.239230695731841</c:v>
                </c:pt>
                <c:pt idx="515">
                  <c:v>36.28689583257465</c:v>
                </c:pt>
                <c:pt idx="516">
                  <c:v>35.34164193008732</c:v>
                </c:pt>
                <c:pt idx="517">
                  <c:v>34.403724022487189</c:v>
                </c:pt>
                <c:pt idx="518">
                  <c:v>33.473433744933921</c:v>
                </c:pt>
                <c:pt idx="519">
                  <c:v>32.551103651255026</c:v>
                </c:pt>
                <c:pt idx="520">
                  <c:v>31.637112127822064</c:v>
                </c:pt>
                <c:pt idx="521">
                  <c:v>30.731888986342064</c:v>
                </c:pt>
                <c:pt idx="522">
                  <c:v>29.835921827709296</c:v>
                </c:pt>
                <c:pt idx="523">
                  <c:v>28.949763278171332</c:v>
                </c:pt>
                <c:pt idx="524">
                  <c:v>28.074039207054472</c:v>
                </c:pt>
                <c:pt idx="525">
                  <c:v>27.209458040844954</c:v>
                </c:pt>
                <c:pt idx="526">
                  <c:v>26.356821289537759</c:v>
                </c:pt>
                <c:pt idx="527">
                  <c:v>25.517035394897771</c:v>
                </c:pt>
                <c:pt idx="528">
                  <c:v>24.691124992381827</c:v>
                </c:pt>
                <c:pt idx="529">
                  <c:v>23.880247642954625</c:v>
                </c:pt>
                <c:pt idx="530">
                  <c:v>23.085710029652617</c:v>
                </c:pt>
                <c:pt idx="531">
                  <c:v>22.308985515480185</c:v>
                </c:pt>
                <c:pt idx="532">
                  <c:v>21.551732809836086</c:v>
                </c:pt>
                <c:pt idx="533">
                  <c:v>20.815815272706541</c:v>
                </c:pt>
                <c:pt idx="534">
                  <c:v>20.103320079445222</c:v>
                </c:pt>
                <c:pt idx="535">
                  <c:v>19.416576054221142</c:v>
                </c:pt>
                <c:pt idx="536">
                  <c:v>18.75816844246647</c:v>
                </c:pt>
                <c:pt idx="537">
                  <c:v>18.130948231739879</c:v>
                </c:pt>
                <c:pt idx="538">
                  <c:v>17.538032875601566</c:v>
                </c:pt>
                <c:pt idx="539">
                  <c:v>16.982794505886741</c:v>
                </c:pt>
                <c:pt idx="540">
                  <c:v>16.468831089224398</c:v>
                </c:pt>
                <c:pt idx="541">
                  <c:v>15.999915742050064</c:v>
                </c:pt>
                <c:pt idx="542">
                  <c:v>15.579919905664344</c:v>
                </c:pt>
                <c:pt idx="543">
                  <c:v>15.212707684919302</c:v>
                </c:pt>
                <c:pt idx="544">
                  <c:v>14.902001681697836</c:v>
                </c:pt>
                <c:pt idx="545">
                  <c:v>14.65122514590953</c:v>
                </c:pt>
                <c:pt idx="546">
                  <c:v>14.463330759811083</c:v>
                </c:pt>
                <c:pt idx="547">
                  <c:v>14.340631763768894</c:v>
                </c:pt>
                <c:pt idx="548">
                  <c:v>14.284654798891694</c:v>
                </c:pt>
                <c:pt idx="549">
                  <c:v>14.296034120946571</c:v>
                </c:pt>
                <c:pt idx="550">
                  <c:v>14.374462777146512</c:v>
                </c:pt>
                <c:pt idx="551">
                  <c:v>14.518708343407125</c:v>
                </c:pt>
                <c:pt idx="552">
                  <c:v>14.726690776374094</c:v>
                </c:pt>
                <c:pt idx="553">
                  <c:v>14.995610554984898</c:v>
                </c:pt>
                <c:pt idx="554">
                  <c:v>15.322109011423636</c:v>
                </c:pt>
                <c:pt idx="555">
                  <c:v>15.702440800264871</c:v>
                </c:pt>
                <c:pt idx="556">
                  <c:v>16.132640533997499</c:v>
                </c:pt>
                <c:pt idx="557">
                  <c:v>16.608670332277253</c:v>
                </c:pt>
                <c:pt idx="558">
                  <c:v>17.126540660982101</c:v>
                </c:pt>
                <c:pt idx="559">
                  <c:v>17.682401959595392</c:v>
                </c:pt>
                <c:pt idx="560">
                  <c:v>18.272608377067318</c:v>
                </c:pt>
                <c:pt idx="561">
                  <c:v>18.893757259355684</c:v>
                </c:pt>
                <c:pt idx="562">
                  <c:v>19.54270905384578</c:v>
                </c:pt>
                <c:pt idx="563">
                  <c:v>20.216592384881629</c:v>
                </c:pt>
                <c:pt idx="564">
                  <c:v>20.912798586473659</c:v>
                </c:pt>
                <c:pt idx="565">
                  <c:v>21.628969253067556</c:v>
                </c:pt>
                <c:pt idx="566">
                  <c:v>22.362979589346022</c:v>
                </c:pt>
                <c:pt idx="567">
                  <c:v>23.112919621083119</c:v>
                </c:pt>
                <c:pt idx="568">
                  <c:v>23.877074723681041</c:v>
                </c:pt>
                <c:pt idx="569">
                  <c:v>24.653906446041475</c:v>
                </c:pt>
                <c:pt idx="570">
                  <c:v>25.442034246108662</c:v>
                </c:pt>
                <c:pt idx="571">
                  <c:v>26.240218492574705</c:v>
                </c:pt>
                <c:pt idx="572">
                  <c:v>27.047344904404458</c:v>
                </c:pt>
                <c:pt idx="573">
                  <c:v>27.862410477010393</c:v>
                </c:pt>
                <c:pt idx="574">
                  <c:v>28.68451086506424</c:v>
                </c:pt>
                <c:pt idx="575">
                  <c:v>29.512829144361639</c:v>
                </c:pt>
                <c:pt idx="576">
                  <c:v>30.346625849193757</c:v>
                </c:pt>
                <c:pt idx="577">
                  <c:v>31.185230170208136</c:v>
                </c:pt>
                <c:pt idx="578">
                  <c:v>32.028032195655278</c:v>
                </c:pt>
                <c:pt idx="579">
                  <c:v>32.874476082638047</c:v>
                </c:pt>
                <c:pt idx="580">
                  <c:v>33.724054052055799</c:v>
                </c:pt>
                <c:pt idx="581">
                  <c:v>34.576301109720518</c:v>
                </c:pt>
                <c:pt idx="582">
                  <c:v>35.430790405549644</c:v>
                </c:pt>
                <c:pt idx="583">
                  <c:v>36.287129152135698</c:v>
                </c:pt>
                <c:pt idx="584">
                  <c:v>37.14495503295651</c:v>
                </c:pt>
                <c:pt idx="585">
                  <c:v>38.003933038799154</c:v>
                </c:pt>
                <c:pt idx="586">
                  <c:v>38.863752678526694</c:v>
                </c:pt>
                <c:pt idx="587">
                  <c:v>39.724125517090393</c:v>
                </c:pt>
                <c:pt idx="588">
                  <c:v>40.584782999703101</c:v>
                </c:pt>
                <c:pt idx="589">
                  <c:v>41.445474526386604</c:v>
                </c:pt>
                <c:pt idx="590">
                  <c:v>42.305965745747663</c:v>
                </c:pt>
                <c:pt idx="591">
                  <c:v>43.166037040887886</c:v>
                </c:pt>
                <c:pt idx="592">
                  <c:v>44.025482183877827</c:v>
                </c:pt>
                <c:pt idx="593">
                  <c:v>44.88410713828636</c:v>
                </c:pt>
                <c:pt idx="594">
                  <c:v>45.741728991910925</c:v>
                </c:pt>
                <c:pt idx="595">
                  <c:v>46.598175004154328</c:v>
                </c:pt>
                <c:pt idx="596">
                  <c:v>47.453281754485765</c:v>
                </c:pt>
                <c:pt idx="597">
                  <c:v>48.306894380149238</c:v>
                </c:pt>
                <c:pt idx="598">
                  <c:v>49.158865892776888</c:v>
                </c:pt>
                <c:pt idx="599">
                  <c:v>50.009056564860465</c:v>
                </c:pt>
                <c:pt idx="600">
                  <c:v>50.85733337815708</c:v>
                </c:pt>
                <c:pt idx="601">
                  <c:v>51.703569527080766</c:v>
                </c:pt>
                <c:pt idx="602">
                  <c:v>52.547643970978079</c:v>
                </c:pt>
                <c:pt idx="603">
                  <c:v>53.389441029922423</c:v>
                </c:pt>
                <c:pt idx="604">
                  <c:v>54.22885001930333</c:v>
                </c:pt>
                <c:pt idx="605">
                  <c:v>55.065764919045208</c:v>
                </c:pt>
                <c:pt idx="606">
                  <c:v>55.900084073778125</c:v>
                </c:pt>
                <c:pt idx="607">
                  <c:v>56.731709920709058</c:v>
                </c:pt>
                <c:pt idx="608">
                  <c:v>57.560548742314715</c:v>
                </c:pt>
                <c:pt idx="609">
                  <c:v>58.386510441303628</c:v>
                </c:pt>
                <c:pt idx="610">
                  <c:v>59.209508335581546</c:v>
                </c:pt>
                <c:pt idx="611">
                  <c:v>60.029458971205713</c:v>
                </c:pt>
                <c:pt idx="612">
                  <c:v>60.846281951534657</c:v>
                </c:pt>
                <c:pt idx="613">
                  <c:v>61.659899780975337</c:v>
                </c:pt>
                <c:pt idx="614">
                  <c:v>62.470237721900816</c:v>
                </c:pt>
                <c:pt idx="615">
                  <c:v>63.277223663463595</c:v>
                </c:pt>
                <c:pt idx="616">
                  <c:v>64.080788001163924</c:v>
                </c:pt>
                <c:pt idx="617">
                  <c:v>64.880863526151103</c:v>
                </c:pt>
                <c:pt idx="618">
                  <c:v>65.677385323340843</c:v>
                </c:pt>
                <c:pt idx="619">
                  <c:v>66.470290677525739</c:v>
                </c:pt>
                <c:pt idx="620">
                  <c:v>67.259518986738513</c:v>
                </c:pt>
                <c:pt idx="621">
                  <c:v>68.045011682201803</c:v>
                </c:pt>
                <c:pt idx="622">
                  <c:v>68.8267121542642</c:v>
                </c:pt>
                <c:pt idx="623">
                  <c:v>69.604565683781004</c:v>
                </c:pt>
                <c:pt idx="624">
                  <c:v>70.378519378450548</c:v>
                </c:pt>
                <c:pt idx="625">
                  <c:v>71.148522113664072</c:v>
                </c:pt>
                <c:pt idx="626">
                  <c:v>71.914524477469271</c:v>
                </c:pt>
                <c:pt idx="627">
                  <c:v>72.676478719284788</c:v>
                </c:pt>
                <c:pt idx="628">
                  <c:v>73.434338702037721</c:v>
                </c:pt>
                <c:pt idx="629">
                  <c:v>74.188059857425685</c:v>
                </c:pt>
                <c:pt idx="630">
                  <c:v>74.937599144032845</c:v>
                </c:pt>
                <c:pt idx="631">
                  <c:v>75.68291500805401</c:v>
                </c:pt>
                <c:pt idx="632">
                  <c:v>76.423967346402705</c:v>
                </c:pt>
                <c:pt idx="633">
                  <c:v>77.160717471999604</c:v>
                </c:pt>
                <c:pt idx="634">
                  <c:v>77.893128081055622</c:v>
                </c:pt>
                <c:pt idx="635">
                  <c:v>78.6211632221803</c:v>
                </c:pt>
                <c:pt idx="636">
                  <c:v>79.344788267161121</c:v>
                </c:pt>
                <c:pt idx="637">
                  <c:v>80.063969883272861</c:v>
                </c:pt>
                <c:pt idx="638">
                  <c:v>80.77867600698788</c:v>
                </c:pt>
                <c:pt idx="639">
                  <c:v>81.488875818969873</c:v>
                </c:pt>
                <c:pt idx="640">
                  <c:v>82.194539720243355</c:v>
                </c:pt>
                <c:pt idx="641">
                  <c:v>82.895639309440384</c:v>
                </c:pt>
                <c:pt idx="642">
                  <c:v>83.592147361034435</c:v>
                </c:pt>
                <c:pt idx="643">
                  <c:v>84.284037804478714</c:v>
                </c:pt>
                <c:pt idx="644">
                  <c:v>84.97128570417344</c:v>
                </c:pt>
                <c:pt idx="645">
                  <c:v>85.653867240192795</c:v>
                </c:pt>
                <c:pt idx="646">
                  <c:v>86.331759689708065</c:v>
                </c:pt>
                <c:pt idx="647">
                  <c:v>87.004941409048598</c:v>
                </c:pt>
                <c:pt idx="648">
                  <c:v>87.673391816347475</c:v>
                </c:pt>
                <c:pt idx="649">
                  <c:v>88.337091374722803</c:v>
                </c:pt>
                <c:pt idx="650">
                  <c:v>88.996021575949769</c:v>
                </c:pt>
                <c:pt idx="651">
                  <c:v>89.65016492458237</c:v>
                </c:pt>
                <c:pt idx="652">
                  <c:v>90.299504922487117</c:v>
                </c:pt>
                <c:pt idx="653">
                  <c:v>90.944026053754172</c:v>
                </c:pt>
                <c:pt idx="654">
                  <c:v>91.583713769953988</c:v>
                </c:pt>
                <c:pt idx="655">
                  <c:v>92.218554475710903</c:v>
                </c:pt>
                <c:pt idx="656">
                  <c:v>92.848535514566521</c:v>
                </c:pt>
                <c:pt idx="657">
                  <c:v>93.473645155109224</c:v>
                </c:pt>
                <c:pt idx="658">
                  <c:v>94.093872577346843</c:v>
                </c:pt>
                <c:pt idx="659">
                  <c:v>94.709207859302694</c:v>
                </c:pt>
                <c:pt idx="660">
                  <c:v>95.319641963816181</c:v>
                </c:pt>
                <c:pt idx="661">
                  <c:v>95.925166725530872</c:v>
                </c:pt>
                <c:pt idx="662">
                  <c:v>96.525774838054943</c:v>
                </c:pt>
                <c:pt idx="663">
                  <c:v>97.12145984127956</c:v>
                </c:pt>
                <c:pt idx="664">
                  <c:v>97.712216108842398</c:v>
                </c:pt>
                <c:pt idx="665">
                  <c:v>98.298038835725194</c:v>
                </c:pt>
                <c:pt idx="666">
                  <c:v>98.878924025973902</c:v>
                </c:pt>
                <c:pt idx="667">
                  <c:v>99.454868480532909</c:v>
                </c:pt>
                <c:pt idx="668">
                  <c:v>100.02586978518383</c:v>
                </c:pt>
                <c:pt idx="669">
                  <c:v>100.59192629858187</c:v>
                </c:pt>
                <c:pt idx="670">
                  <c:v>101.15303714038224</c:v>
                </c:pt>
                <c:pt idx="671">
                  <c:v>101.70920217945077</c:v>
                </c:pt>
                <c:pt idx="672">
                  <c:v>102.26042202215308</c:v>
                </c:pt>
                <c:pt idx="673">
                  <c:v>102.80669800071736</c:v>
                </c:pt>
                <c:pt idx="674">
                  <c:v>103.34803216166647</c:v>
                </c:pt>
                <c:pt idx="675">
                  <c:v>103.88442725431555</c:v>
                </c:pt>
                <c:pt idx="676">
                  <c:v>104.41588671933188</c:v>
                </c:pt>
                <c:pt idx="677">
                  <c:v>104.94241467735404</c:v>
                </c:pt>
                <c:pt idx="678">
                  <c:v>105.46401591766805</c:v>
                </c:pt>
                <c:pt idx="679">
                  <c:v>105.98069588693842</c:v>
                </c:pt>
                <c:pt idx="680">
                  <c:v>106.4924606779924</c:v>
                </c:pt>
                <c:pt idx="681">
                  <c:v>106.9993170186559</c:v>
                </c:pt>
                <c:pt idx="682">
                  <c:v>107.50127226064053</c:v>
                </c:pt>
                <c:pt idx="683">
                  <c:v>107.99833436848026</c:v>
                </c:pt>
                <c:pt idx="684">
                  <c:v>108.49051190851773</c:v>
                </c:pt>
                <c:pt idx="685">
                  <c:v>108.97781403793974</c:v>
                </c:pt>
                <c:pt idx="686">
                  <c:v>109.46025049386166</c:v>
                </c:pt>
                <c:pt idx="687">
                  <c:v>109.93783158246106</c:v>
                </c:pt>
                <c:pt idx="688">
                  <c:v>110.41056816816076</c:v>
                </c:pt>
                <c:pt idx="689">
                  <c:v>110.87847166286176</c:v>
                </c:pt>
                <c:pt idx="690">
                  <c:v>111.34155401522652</c:v>
                </c:pt>
                <c:pt idx="691">
                  <c:v>111.79982770001352</c:v>
                </c:pt>
                <c:pt idx="692">
                  <c:v>112.25330570746353</c:v>
                </c:pt>
                <c:pt idx="693">
                  <c:v>112.70200153273899</c:v>
                </c:pt>
                <c:pt idx="694">
                  <c:v>113.1459291654172</c:v>
                </c:pt>
                <c:pt idx="695">
                  <c:v>113.58510307903838</c:v>
                </c:pt>
                <c:pt idx="696">
                  <c:v>114.01953822071006</c:v>
                </c:pt>
                <c:pt idx="697">
                  <c:v>114.44925000076871</c:v>
                </c:pt>
                <c:pt idx="698">
                  <c:v>114.8742542825001</c:v>
                </c:pt>
                <c:pt idx="699">
                  <c:v>115.29456737191964</c:v>
                </c:pt>
                <c:pt idx="700">
                  <c:v>115.71020600761395</c:v>
                </c:pt>
                <c:pt idx="701">
                  <c:v>116.1211873506454</c:v>
                </c:pt>
                <c:pt idx="702">
                  <c:v>116.52752897452064</c:v>
                </c:pt>
                <c:pt idx="703">
                  <c:v>116.92924885522464</c:v>
                </c:pt>
                <c:pt idx="704">
                  <c:v>117.32636536132213</c:v>
                </c:pt>
                <c:pt idx="705">
                  <c:v>117.71889724412705</c:v>
                </c:pt>
                <c:pt idx="706">
                  <c:v>118.10686362794227</c:v>
                </c:pt>
                <c:pt idx="707">
                  <c:v>118.49028400037068</c:v>
                </c:pt>
                <c:pt idx="708">
                  <c:v>118.8691782026989</c:v>
                </c:pt>
                <c:pt idx="709">
                  <c:v>119.24356642035561</c:v>
                </c:pt>
                <c:pt idx="710">
                  <c:v>119.61346917344514</c:v>
                </c:pt>
                <c:pt idx="711">
                  <c:v>119.97890730735851</c:v>
                </c:pt>
                <c:pt idx="712">
                  <c:v>120.33990198346271</c:v>
                </c:pt>
                <c:pt idx="713">
                  <c:v>120.69647466986987</c:v>
                </c:pt>
                <c:pt idx="714">
                  <c:v>121.0486471322875</c:v>
                </c:pt>
                <c:pt idx="715">
                  <c:v>121.39644142495125</c:v>
                </c:pt>
                <c:pt idx="716">
                  <c:v>121.73987988164122</c:v>
                </c:pt>
                <c:pt idx="717">
                  <c:v>122.07898510678332</c:v>
                </c:pt>
                <c:pt idx="718">
                  <c:v>122.41377996663668</c:v>
                </c:pt>
                <c:pt idx="719">
                  <c:v>122.74428758056824</c:v>
                </c:pt>
                <c:pt idx="720">
                  <c:v>123.07053131241591</c:v>
                </c:pt>
                <c:pt idx="721">
                  <c:v>123.39253476194094</c:v>
                </c:pt>
                <c:pt idx="722">
                  <c:v>123.71032175637102</c:v>
                </c:pt>
                <c:pt idx="723">
                  <c:v>124.02391634203471</c:v>
                </c:pt>
                <c:pt idx="724">
                  <c:v>124.33334277608836</c:v>
                </c:pt>
                <c:pt idx="725">
                  <c:v>124.63862551833635</c:v>
                </c:pt>
                <c:pt idx="726">
                  <c:v>124.93978922314555</c:v>
                </c:pt>
                <c:pt idx="727">
                  <c:v>125.23685873145476</c:v>
                </c:pt>
                <c:pt idx="728">
                  <c:v>125.52985906288006</c:v>
                </c:pt>
                <c:pt idx="729">
                  <c:v>125.81881540791649</c:v>
                </c:pt>
                <c:pt idx="730">
                  <c:v>126.10375312023704</c:v>
                </c:pt>
                <c:pt idx="731">
                  <c:v>126.38469770908954</c:v>
                </c:pt>
                <c:pt idx="732">
                  <c:v>126.66167483179169</c:v>
                </c:pt>
                <c:pt idx="733">
                  <c:v>126.93471028632541</c:v>
                </c:pt>
                <c:pt idx="734">
                  <c:v>127.20383000403039</c:v>
                </c:pt>
                <c:pt idx="735">
                  <c:v>127.46906004239753</c:v>
                </c:pt>
                <c:pt idx="736">
                  <c:v>127.73042657796286</c:v>
                </c:pt>
                <c:pt idx="737">
                  <c:v>127.98795589930195</c:v>
                </c:pt>
                <c:pt idx="738">
                  <c:v>128.24167440012545</c:v>
                </c:pt>
                <c:pt idx="739">
                  <c:v>128.49160857247549</c:v>
                </c:pt>
                <c:pt idx="740">
                  <c:v>128.73778500002416</c:v>
                </c:pt>
                <c:pt idx="741">
                  <c:v>128.98023035147315</c:v>
                </c:pt>
                <c:pt idx="742">
                  <c:v>129.21897137405517</c:v>
                </c:pt>
                <c:pt idx="743">
                  <c:v>129.45403488713751</c:v>
                </c:pt>
                <c:pt idx="744">
                  <c:v>129.68544777592734</c:v>
                </c:pt>
                <c:pt idx="745">
                  <c:v>129.91323698527899</c:v>
                </c:pt>
                <c:pt idx="746">
                  <c:v>130.13742951360305</c:v>
                </c:pt>
                <c:pt idx="747">
                  <c:v>130.35805240687736</c:v>
                </c:pt>
                <c:pt idx="748">
                  <c:v>130.57513275275983</c:v>
                </c:pt>
                <c:pt idx="749">
                  <c:v>130.78869767480239</c:v>
                </c:pt>
                <c:pt idx="750">
                  <c:v>130.99877432676712</c:v>
                </c:pt>
                <c:pt idx="751">
                  <c:v>131.20538988704254</c:v>
                </c:pt>
                <c:pt idx="752">
                  <c:v>131.40857155316166</c:v>
                </c:pt>
                <c:pt idx="753">
                  <c:v>131.60834653642013</c:v>
                </c:pt>
                <c:pt idx="754">
                  <c:v>131.80474205659479</c:v>
                </c:pt>
                <c:pt idx="755">
                  <c:v>131.99778533676218</c:v>
                </c:pt>
                <c:pt idx="756">
                  <c:v>132.18750359821652</c:v>
                </c:pt>
                <c:pt idx="757">
                  <c:v>132.37392405548678</c:v>
                </c:pt>
                <c:pt idx="758">
                  <c:v>132.55707391145239</c:v>
                </c:pt>
                <c:pt idx="759">
                  <c:v>132.73698035255691</c:v>
                </c:pt>
                <c:pt idx="760">
                  <c:v>132.9136705441197</c:v>
                </c:pt>
                <c:pt idx="761">
                  <c:v>133.0871716257443</c:v>
                </c:pt>
                <c:pt idx="762">
                  <c:v>133.25751070682344</c:v>
                </c:pt>
                <c:pt idx="763">
                  <c:v>133.42471486213995</c:v>
                </c:pt>
                <c:pt idx="764">
                  <c:v>133.58881112756296</c:v>
                </c:pt>
                <c:pt idx="765">
                  <c:v>133.7498264958387</c:v>
                </c:pt>
                <c:pt idx="766">
                  <c:v>133.90778791247524</c:v>
                </c:pt>
                <c:pt idx="767">
                  <c:v>134.06272227172039</c:v>
                </c:pt>
                <c:pt idx="768">
                  <c:v>134.21465641263237</c:v>
                </c:pt>
                <c:pt idx="769">
                  <c:v>134.36361711524196</c:v>
                </c:pt>
                <c:pt idx="770">
                  <c:v>134.50963109680603</c:v>
                </c:pt>
                <c:pt idx="771">
                  <c:v>134.6527250081509</c:v>
                </c:pt>
                <c:pt idx="772">
                  <c:v>134.7929254301055</c:v>
                </c:pt>
                <c:pt idx="773">
                  <c:v>134.93025887002307</c:v>
                </c:pt>
                <c:pt idx="774">
                  <c:v>135.06475175839057</c:v>
                </c:pt>
                <c:pt idx="775">
                  <c:v>135.06488342950328</c:v>
                </c:pt>
                <c:pt idx="776">
                  <c:v>135.06501509783268</c:v>
                </c:pt>
                <c:pt idx="777">
                  <c:v>135.06514676337883</c:v>
                </c:pt>
                <c:pt idx="778">
                  <c:v>135.06527842614179</c:v>
                </c:pt>
                <c:pt idx="779">
                  <c:v>135.06541008612155</c:v>
                </c:pt>
                <c:pt idx="780">
                  <c:v>135.06554174331811</c:v>
                </c:pt>
                <c:pt idx="781">
                  <c:v>135.06567339773156</c:v>
                </c:pt>
                <c:pt idx="782">
                  <c:v>135.06580504936184</c:v>
                </c:pt>
                <c:pt idx="783">
                  <c:v>135.06593669820907</c:v>
                </c:pt>
                <c:pt idx="784">
                  <c:v>135.06606834427322</c:v>
                </c:pt>
                <c:pt idx="785">
                  <c:v>135.06619998755431</c:v>
                </c:pt>
                <c:pt idx="786">
                  <c:v>135.06633162805241</c:v>
                </c:pt>
                <c:pt idx="787">
                  <c:v>135.06646326576748</c:v>
                </c:pt>
                <c:pt idx="788">
                  <c:v>135.06659490069961</c:v>
                </c:pt>
                <c:pt idx="789">
                  <c:v>135.06672653284883</c:v>
                </c:pt>
                <c:pt idx="790">
                  <c:v>135.06685816221511</c:v>
                </c:pt>
                <c:pt idx="791">
                  <c:v>135.06698978879851</c:v>
                </c:pt>
                <c:pt idx="792">
                  <c:v>135.06712141259905</c:v>
                </c:pt>
                <c:pt idx="793">
                  <c:v>135.06725303361677</c:v>
                </c:pt>
                <c:pt idx="794">
                  <c:v>135.06738465185165</c:v>
                </c:pt>
                <c:pt idx="795">
                  <c:v>135.06751626730377</c:v>
                </c:pt>
                <c:pt idx="796">
                  <c:v>135.06764787997312</c:v>
                </c:pt>
                <c:pt idx="797">
                  <c:v>135.06777948985976</c:v>
                </c:pt>
                <c:pt idx="798">
                  <c:v>135.06791109696368</c:v>
                </c:pt>
                <c:pt idx="799">
                  <c:v>135.06804270128492</c:v>
                </c:pt>
                <c:pt idx="800">
                  <c:v>135.06817430282351</c:v>
                </c:pt>
                <c:pt idx="801">
                  <c:v>135.06830590157949</c:v>
                </c:pt>
                <c:pt idx="802">
                  <c:v>135.06843749755285</c:v>
                </c:pt>
                <c:pt idx="803">
                  <c:v>135.06856909074364</c:v>
                </c:pt>
                <c:pt idx="804">
                  <c:v>135.06870068115188</c:v>
                </c:pt>
                <c:pt idx="805">
                  <c:v>135.06883226877761</c:v>
                </c:pt>
                <c:pt idx="806">
                  <c:v>135.06896385362083</c:v>
                </c:pt>
                <c:pt idx="807">
                  <c:v>135.06909543568162</c:v>
                </c:pt>
                <c:pt idx="808">
                  <c:v>135.06922701495995</c:v>
                </c:pt>
                <c:pt idx="809">
                  <c:v>135.06935859145582</c:v>
                </c:pt>
                <c:pt idx="810">
                  <c:v>135.06949016516933</c:v>
                </c:pt>
                <c:pt idx="811">
                  <c:v>135.06962173610046</c:v>
                </c:pt>
                <c:pt idx="812">
                  <c:v>135.06975330424925</c:v>
                </c:pt>
                <c:pt idx="813">
                  <c:v>135.06988486961572</c:v>
                </c:pt>
                <c:pt idx="814">
                  <c:v>135.07001643219991</c:v>
                </c:pt>
                <c:pt idx="815">
                  <c:v>135.07014799200186</c:v>
                </c:pt>
                <c:pt idx="816">
                  <c:v>135.07027954902156</c:v>
                </c:pt>
                <c:pt idx="817">
                  <c:v>135.07041110325903</c:v>
                </c:pt>
                <c:pt idx="818">
                  <c:v>135.07054265471433</c:v>
                </c:pt>
                <c:pt idx="819">
                  <c:v>135.07067420338745</c:v>
                </c:pt>
                <c:pt idx="820">
                  <c:v>135.07080574927846</c:v>
                </c:pt>
                <c:pt idx="821">
                  <c:v>135.07093729238736</c:v>
                </c:pt>
                <c:pt idx="822">
                  <c:v>135.07106883271416</c:v>
                </c:pt>
                <c:pt idx="823">
                  <c:v>135.07120037025894</c:v>
                </c:pt>
                <c:pt idx="824">
                  <c:v>135.07133190502165</c:v>
                </c:pt>
                <c:pt idx="825">
                  <c:v>135.07146343700239</c:v>
                </c:pt>
                <c:pt idx="826">
                  <c:v>135.07159496620116</c:v>
                </c:pt>
                <c:pt idx="827">
                  <c:v>135.07172649261796</c:v>
                </c:pt>
                <c:pt idx="828">
                  <c:v>135.07185801625283</c:v>
                </c:pt>
                <c:pt idx="829">
                  <c:v>135.07198953710579</c:v>
                </c:pt>
                <c:pt idx="830">
                  <c:v>135.07212105517689</c:v>
                </c:pt>
                <c:pt idx="831">
                  <c:v>135.07225257046616</c:v>
                </c:pt>
                <c:pt idx="832">
                  <c:v>135.0723840829736</c:v>
                </c:pt>
                <c:pt idx="833">
                  <c:v>135.07251559269923</c:v>
                </c:pt>
                <c:pt idx="834">
                  <c:v>135.07264709964309</c:v>
                </c:pt>
                <c:pt idx="835">
                  <c:v>135.07277860380523</c:v>
                </c:pt>
                <c:pt idx="836">
                  <c:v>135.07291010518566</c:v>
                </c:pt>
                <c:pt idx="837">
                  <c:v>135.07304160378439</c:v>
                </c:pt>
                <c:pt idx="838">
                  <c:v>135.07317309960143</c:v>
                </c:pt>
                <c:pt idx="839">
                  <c:v>135.07330459263687</c:v>
                </c:pt>
                <c:pt idx="840">
                  <c:v>135.07343608289065</c:v>
                </c:pt>
                <c:pt idx="841">
                  <c:v>135.07356757036288</c:v>
                </c:pt>
                <c:pt idx="842">
                  <c:v>135.07369905505354</c:v>
                </c:pt>
                <c:pt idx="843">
                  <c:v>135.07383053696265</c:v>
                </c:pt>
                <c:pt idx="844">
                  <c:v>135.07396201609026</c:v>
                </c:pt>
                <c:pt idx="845">
                  <c:v>135.07409349243639</c:v>
                </c:pt>
                <c:pt idx="846">
                  <c:v>135.07422496600108</c:v>
                </c:pt>
                <c:pt idx="847">
                  <c:v>135.07435643678431</c:v>
                </c:pt>
                <c:pt idx="848">
                  <c:v>135.07448790478614</c:v>
                </c:pt>
                <c:pt idx="849">
                  <c:v>135.07461937000659</c:v>
                </c:pt>
                <c:pt idx="850">
                  <c:v>135.07475083244569</c:v>
                </c:pt>
                <c:pt idx="851">
                  <c:v>135.07488229210347</c:v>
                </c:pt>
                <c:pt idx="852">
                  <c:v>135.07501374897993</c:v>
                </c:pt>
                <c:pt idx="853">
                  <c:v>135.07514520307512</c:v>
                </c:pt>
                <c:pt idx="854">
                  <c:v>135.07527665438909</c:v>
                </c:pt>
                <c:pt idx="855">
                  <c:v>135.07540810292178</c:v>
                </c:pt>
                <c:pt idx="856">
                  <c:v>135.07553954867331</c:v>
                </c:pt>
                <c:pt idx="857">
                  <c:v>135.07567099164365</c:v>
                </c:pt>
                <c:pt idx="858">
                  <c:v>135.07580243183287</c:v>
                </c:pt>
                <c:pt idx="859">
                  <c:v>135.07593386924094</c:v>
                </c:pt>
                <c:pt idx="860">
                  <c:v>135.07606530386792</c:v>
                </c:pt>
                <c:pt idx="861">
                  <c:v>135.07619673571384</c:v>
                </c:pt>
                <c:pt idx="862">
                  <c:v>135.07632816477874</c:v>
                </c:pt>
                <c:pt idx="863">
                  <c:v>135.07645959106259</c:v>
                </c:pt>
                <c:pt idx="864">
                  <c:v>135.07659101456545</c:v>
                </c:pt>
                <c:pt idx="865">
                  <c:v>135.07672243528739</c:v>
                </c:pt>
                <c:pt idx="866">
                  <c:v>135.07685385322833</c:v>
                </c:pt>
                <c:pt idx="867">
                  <c:v>135.0769852683884</c:v>
                </c:pt>
                <c:pt idx="868">
                  <c:v>135.07711668076755</c:v>
                </c:pt>
                <c:pt idx="869">
                  <c:v>135.07724809036588</c:v>
                </c:pt>
                <c:pt idx="870">
                  <c:v>135.07737949718339</c:v>
                </c:pt>
                <c:pt idx="871">
                  <c:v>135.07751090122002</c:v>
                </c:pt>
                <c:pt idx="872">
                  <c:v>135.07764230247591</c:v>
                </c:pt>
                <c:pt idx="873">
                  <c:v>135.07777370095104</c:v>
                </c:pt>
                <c:pt idx="874">
                  <c:v>135.07790509664545</c:v>
                </c:pt>
                <c:pt idx="875">
                  <c:v>135.07803648955917</c:v>
                </c:pt>
                <c:pt idx="876">
                  <c:v>135.07816787969216</c:v>
                </c:pt>
                <c:pt idx="877">
                  <c:v>135.07829926704451</c:v>
                </c:pt>
                <c:pt idx="878">
                  <c:v>135.07843065161626</c:v>
                </c:pt>
                <c:pt idx="879">
                  <c:v>135.07856203340739</c:v>
                </c:pt>
                <c:pt idx="880">
                  <c:v>135.07869341241798</c:v>
                </c:pt>
                <c:pt idx="881">
                  <c:v>135.07882478864798</c:v>
                </c:pt>
                <c:pt idx="882">
                  <c:v>135.07895616209748</c:v>
                </c:pt>
                <c:pt idx="883">
                  <c:v>135.07908753276647</c:v>
                </c:pt>
                <c:pt idx="884">
                  <c:v>135.07921890065498</c:v>
                </c:pt>
                <c:pt idx="885">
                  <c:v>135.07935026576305</c:v>
                </c:pt>
                <c:pt idx="886">
                  <c:v>135.07948162809069</c:v>
                </c:pt>
                <c:pt idx="887">
                  <c:v>135.07961298763794</c:v>
                </c:pt>
                <c:pt idx="888">
                  <c:v>135.07974434440484</c:v>
                </c:pt>
                <c:pt idx="889">
                  <c:v>135.07987569839139</c:v>
                </c:pt>
                <c:pt idx="890">
                  <c:v>135.08000704959764</c:v>
                </c:pt>
                <c:pt idx="891">
                  <c:v>135.08013839802359</c:v>
                </c:pt>
                <c:pt idx="892">
                  <c:v>135.08026974366928</c:v>
                </c:pt>
                <c:pt idx="893">
                  <c:v>135.08040108653472</c:v>
                </c:pt>
                <c:pt idx="894">
                  <c:v>135.08053242661998</c:v>
                </c:pt>
                <c:pt idx="895">
                  <c:v>135.080663763925</c:v>
                </c:pt>
                <c:pt idx="896">
                  <c:v>135.08079509844993</c:v>
                </c:pt>
                <c:pt idx="897">
                  <c:v>135.08092643019469</c:v>
                </c:pt>
                <c:pt idx="898">
                  <c:v>135.08105775915936</c:v>
                </c:pt>
                <c:pt idx="899">
                  <c:v>135.08118908534394</c:v>
                </c:pt>
                <c:pt idx="900">
                  <c:v>135.08132040874844</c:v>
                </c:pt>
                <c:pt idx="901">
                  <c:v>135.08145172937296</c:v>
                </c:pt>
                <c:pt idx="902">
                  <c:v>135.08158304721744</c:v>
                </c:pt>
                <c:pt idx="903">
                  <c:v>135.08171436228193</c:v>
                </c:pt>
                <c:pt idx="904">
                  <c:v>135.08184567456649</c:v>
                </c:pt>
                <c:pt idx="905">
                  <c:v>135.08197698407113</c:v>
                </c:pt>
                <c:pt idx="906">
                  <c:v>135.08210829079587</c:v>
                </c:pt>
                <c:pt idx="907">
                  <c:v>135.08223959474071</c:v>
                </c:pt>
                <c:pt idx="908">
                  <c:v>135.08237089590574</c:v>
                </c:pt>
                <c:pt idx="909">
                  <c:v>135.08250219429092</c:v>
                </c:pt>
                <c:pt idx="910">
                  <c:v>135.08263348989632</c:v>
                </c:pt>
                <c:pt idx="911">
                  <c:v>135.08276478272194</c:v>
                </c:pt>
                <c:pt idx="912">
                  <c:v>135.08289607276782</c:v>
                </c:pt>
                <c:pt idx="913">
                  <c:v>135.08302736003401</c:v>
                </c:pt>
                <c:pt idx="914">
                  <c:v>135.08315864452047</c:v>
                </c:pt>
                <c:pt idx="915">
                  <c:v>135.08328992622728</c:v>
                </c:pt>
                <c:pt idx="916">
                  <c:v>135.08342120515445</c:v>
                </c:pt>
                <c:pt idx="917">
                  <c:v>135.08355248130198</c:v>
                </c:pt>
                <c:pt idx="918">
                  <c:v>135.08368375466995</c:v>
                </c:pt>
                <c:pt idx="919">
                  <c:v>135.08381502525833</c:v>
                </c:pt>
                <c:pt idx="920">
                  <c:v>135.08394629306721</c:v>
                </c:pt>
                <c:pt idx="921">
                  <c:v>135.08407755809657</c:v>
                </c:pt>
                <c:pt idx="922">
                  <c:v>135.08420882034642</c:v>
                </c:pt>
                <c:pt idx="923">
                  <c:v>135.08434007981683</c:v>
                </c:pt>
                <c:pt idx="924">
                  <c:v>135.08447133650782</c:v>
                </c:pt>
                <c:pt idx="925">
                  <c:v>135.08460259041939</c:v>
                </c:pt>
                <c:pt idx="926">
                  <c:v>135.08473384155155</c:v>
                </c:pt>
                <c:pt idx="927">
                  <c:v>135.08486508990441</c:v>
                </c:pt>
                <c:pt idx="928">
                  <c:v>135.08499633547791</c:v>
                </c:pt>
                <c:pt idx="929">
                  <c:v>135.08512757827214</c:v>
                </c:pt>
                <c:pt idx="930">
                  <c:v>135.08525881828706</c:v>
                </c:pt>
                <c:pt idx="931">
                  <c:v>135.08539005552274</c:v>
                </c:pt>
                <c:pt idx="932">
                  <c:v>135.0855212899792</c:v>
                </c:pt>
                <c:pt idx="933">
                  <c:v>135.08565252165644</c:v>
                </c:pt>
                <c:pt idx="934">
                  <c:v>135.08578375055453</c:v>
                </c:pt>
                <c:pt idx="935">
                  <c:v>135.08591497667345</c:v>
                </c:pt>
                <c:pt idx="936">
                  <c:v>135.08604620001327</c:v>
                </c:pt>
                <c:pt idx="937">
                  <c:v>135.08617742057396</c:v>
                </c:pt>
                <c:pt idx="938">
                  <c:v>135.0863086383556</c:v>
                </c:pt>
                <c:pt idx="939">
                  <c:v>135.0864398533582</c:v>
                </c:pt>
                <c:pt idx="940">
                  <c:v>135.08657106558178</c:v>
                </c:pt>
                <c:pt idx="941">
                  <c:v>135.08670227502637</c:v>
                </c:pt>
                <c:pt idx="942">
                  <c:v>135.08683348169197</c:v>
                </c:pt>
                <c:pt idx="943">
                  <c:v>135.08696468557866</c:v>
                </c:pt>
                <c:pt idx="944">
                  <c:v>135.08709588668646</c:v>
                </c:pt>
                <c:pt idx="945">
                  <c:v>135.08722708501534</c:v>
                </c:pt>
                <c:pt idx="946">
                  <c:v>135.08735828056538</c:v>
                </c:pt>
                <c:pt idx="947">
                  <c:v>135.08748947333657</c:v>
                </c:pt>
                <c:pt idx="948">
                  <c:v>135.08762066332898</c:v>
                </c:pt>
                <c:pt idx="949">
                  <c:v>135.08775185054256</c:v>
                </c:pt>
                <c:pt idx="950">
                  <c:v>135.08788303497744</c:v>
                </c:pt>
                <c:pt idx="951">
                  <c:v>135.08801421663352</c:v>
                </c:pt>
                <c:pt idx="952">
                  <c:v>135.08814539551094</c:v>
                </c:pt>
                <c:pt idx="953">
                  <c:v>135.08827657160964</c:v>
                </c:pt>
                <c:pt idx="954">
                  <c:v>135.0884077449297</c:v>
                </c:pt>
                <c:pt idx="955">
                  <c:v>135.08853891547119</c:v>
                </c:pt>
                <c:pt idx="956">
                  <c:v>135.08867008323401</c:v>
                </c:pt>
                <c:pt idx="957">
                  <c:v>135.08880124821829</c:v>
                </c:pt>
                <c:pt idx="958">
                  <c:v>135.08893241042401</c:v>
                </c:pt>
                <c:pt idx="959">
                  <c:v>135.08906356985122</c:v>
                </c:pt>
                <c:pt idx="960">
                  <c:v>135.0891947264999</c:v>
                </c:pt>
                <c:pt idx="961">
                  <c:v>135.0893258803701</c:v>
                </c:pt>
                <c:pt idx="962">
                  <c:v>135.0894570314619</c:v>
                </c:pt>
                <c:pt idx="963">
                  <c:v>135.08958817977526</c:v>
                </c:pt>
                <c:pt idx="964">
                  <c:v>135.08971932531023</c:v>
                </c:pt>
                <c:pt idx="965">
                  <c:v>135.0898504680668</c:v>
                </c:pt>
                <c:pt idx="966">
                  <c:v>135.08998160804506</c:v>
                </c:pt>
                <c:pt idx="967">
                  <c:v>135.09011274524499</c:v>
                </c:pt>
                <c:pt idx="968">
                  <c:v>135.09024387966664</c:v>
                </c:pt>
                <c:pt idx="969">
                  <c:v>135.09037501131004</c:v>
                </c:pt>
                <c:pt idx="970">
                  <c:v>135.09050614017519</c:v>
                </c:pt>
                <c:pt idx="971">
                  <c:v>135.09063726626212</c:v>
                </c:pt>
                <c:pt idx="972">
                  <c:v>135.09076838957088</c:v>
                </c:pt>
                <c:pt idx="973">
                  <c:v>135.09089951010148</c:v>
                </c:pt>
                <c:pt idx="974">
                  <c:v>135.09103062785394</c:v>
                </c:pt>
                <c:pt idx="975">
                  <c:v>135.09116174282829</c:v>
                </c:pt>
                <c:pt idx="976">
                  <c:v>135.09129285502453</c:v>
                </c:pt>
                <c:pt idx="977">
                  <c:v>135.09142396444273</c:v>
                </c:pt>
                <c:pt idx="978">
                  <c:v>135.09155507108287</c:v>
                </c:pt>
                <c:pt idx="979">
                  <c:v>135.09168617494507</c:v>
                </c:pt>
                <c:pt idx="980">
                  <c:v>135.09181727602922</c:v>
                </c:pt>
                <c:pt idx="981">
                  <c:v>135.09194837433546</c:v>
                </c:pt>
                <c:pt idx="982">
                  <c:v>135.09207946986376</c:v>
                </c:pt>
                <c:pt idx="983">
                  <c:v>135.09221056261418</c:v>
                </c:pt>
                <c:pt idx="984">
                  <c:v>135.09234165258673</c:v>
                </c:pt>
                <c:pt idx="985">
                  <c:v>135.09247273978141</c:v>
                </c:pt>
                <c:pt idx="986">
                  <c:v>135.09260382419828</c:v>
                </c:pt>
                <c:pt idx="987">
                  <c:v>135.09273490583737</c:v>
                </c:pt>
                <c:pt idx="988">
                  <c:v>135.09286598469865</c:v>
                </c:pt>
                <c:pt idx="989">
                  <c:v>135.09299706078221</c:v>
                </c:pt>
                <c:pt idx="990">
                  <c:v>135.09312813408803</c:v>
                </c:pt>
                <c:pt idx="991">
                  <c:v>135.09325920461615</c:v>
                </c:pt>
                <c:pt idx="992">
                  <c:v>135.09339027236663</c:v>
                </c:pt>
                <c:pt idx="993">
                  <c:v>135.09352133733947</c:v>
                </c:pt>
                <c:pt idx="994">
                  <c:v>135.09365239953468</c:v>
                </c:pt>
                <c:pt idx="995">
                  <c:v>135.09378345895232</c:v>
                </c:pt>
                <c:pt idx="996">
                  <c:v>135.09391451559239</c:v>
                </c:pt>
                <c:pt idx="997">
                  <c:v>135.09404556945489</c:v>
                </c:pt>
                <c:pt idx="998">
                  <c:v>135.09417662053991</c:v>
                </c:pt>
                <c:pt idx="999">
                  <c:v>135.09430766884742</c:v>
                </c:pt>
                <c:pt idx="1000">
                  <c:v>135.0944387143775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5-5B4B-A9BE-4FC1D788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20192"/>
        <c:axId val="1"/>
      </c:scatterChart>
      <c:valAx>
        <c:axId val="1805920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Courbes!$B$141</c:f>
              <c:strCache>
                <c:ptCount val="1"/>
                <c:pt idx="0">
                  <c:v>Vitesse [m/s]</c:v>
                </c:pt>
              </c:strCache>
            </c:strRef>
          </c:tx>
          <c:layout>
            <c:manualLayout>
              <c:xMode val="edge"/>
              <c:yMode val="edge"/>
              <c:x val="2.5943396226415096E-2"/>
              <c:y val="0.22875870516185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20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40934540816568"/>
          <c:y val="0.46582833845835819"/>
          <c:w val="0.1219196919265597"/>
          <c:h val="7.69257806628481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Accélérations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339622641509524E-2"/>
          <c:y val="9.4771241830065356E-2"/>
          <c:w val="0.88679245283019092"/>
          <c:h val="0.8169934640522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Courbes!$B$137</c:f>
              <c:strCache>
                <c:ptCount val="1"/>
                <c:pt idx="0">
                  <c:v>Accélération longitudinale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Calculs!$AG$4:$AG$1004</c:f>
              <c:numCache>
                <c:formatCode>0.00</c:formatCode>
                <c:ptCount val="1001"/>
                <c:pt idx="0">
                  <c:v>0</c:v>
                </c:pt>
                <c:pt idx="1">
                  <c:v>2.6567761243972114</c:v>
                </c:pt>
                <c:pt idx="2">
                  <c:v>27.522647245813808</c:v>
                </c:pt>
                <c:pt idx="3">
                  <c:v>52.405552546776661</c:v>
                </c:pt>
                <c:pt idx="4">
                  <c:v>77.314665804071907</c:v>
                </c:pt>
                <c:pt idx="5">
                  <c:v>102.25904576792216</c:v>
                </c:pt>
                <c:pt idx="6">
                  <c:v>114.63589403359431</c:v>
                </c:pt>
                <c:pt idx="7">
                  <c:v>114.41586277945116</c:v>
                </c:pt>
                <c:pt idx="8">
                  <c:v>114.19433261400258</c:v>
                </c:pt>
                <c:pt idx="9">
                  <c:v>113.97130785773838</c:v>
                </c:pt>
                <c:pt idx="10">
                  <c:v>113.74679290489283</c:v>
                </c:pt>
                <c:pt idx="11">
                  <c:v>113.52079222304596</c:v>
                </c:pt>
                <c:pt idx="12">
                  <c:v>113.29331035271635</c:v>
                </c:pt>
                <c:pt idx="13">
                  <c:v>113.0643519069454</c:v>
                </c:pt>
                <c:pt idx="14">
                  <c:v>112.8339215708735</c:v>
                </c:pt>
                <c:pt idx="15">
                  <c:v>112.60202410130759</c:v>
                </c:pt>
                <c:pt idx="16">
                  <c:v>112.36866432628108</c:v>
                </c:pt>
                <c:pt idx="17">
                  <c:v>112.13384714460518</c:v>
                </c:pt>
                <c:pt idx="18">
                  <c:v>111.89757752541256</c:v>
                </c:pt>
                <c:pt idx="19">
                  <c:v>111.65986050769285</c:v>
                </c:pt>
                <c:pt idx="20">
                  <c:v>111.42070119982041</c:v>
                </c:pt>
                <c:pt idx="21">
                  <c:v>111.18010477907431</c:v>
                </c:pt>
                <c:pt idx="22">
                  <c:v>110.93807649115057</c:v>
                </c:pt>
                <c:pt idx="23">
                  <c:v>110.69462164966684</c:v>
                </c:pt>
                <c:pt idx="24">
                  <c:v>110.44974563565954</c:v>
                </c:pt>
                <c:pt idx="25">
                  <c:v>110.20345389707353</c:v>
                </c:pt>
                <c:pt idx="26">
                  <c:v>109.95575194824443</c:v>
                </c:pt>
                <c:pt idx="27">
                  <c:v>109.7066453693739</c:v>
                </c:pt>
                <c:pt idx="28">
                  <c:v>109.4561398059974</c:v>
                </c:pt>
                <c:pt idx="29">
                  <c:v>109.20424096844509</c:v>
                </c:pt>
                <c:pt idx="30">
                  <c:v>108.95095463129579</c:v>
                </c:pt>
                <c:pt idx="31">
                  <c:v>108.69628663282393</c:v>
                </c:pt>
                <c:pt idx="32">
                  <c:v>108.44047010242126</c:v>
                </c:pt>
                <c:pt idx="33">
                  <c:v>108.183281305744</c:v>
                </c:pt>
                <c:pt idx="34">
                  <c:v>107.9247227736204</c:v>
                </c:pt>
                <c:pt idx="35">
                  <c:v>107.66480093776177</c:v>
                </c:pt>
                <c:pt idx="36">
                  <c:v>107.40352226020262</c:v>
                </c:pt>
                <c:pt idx="37">
                  <c:v>107.1408932362331</c:v>
                </c:pt>
                <c:pt idx="38">
                  <c:v>106.87692039682746</c:v>
                </c:pt>
                <c:pt idx="39">
                  <c:v>106.6116103106509</c:v>
                </c:pt>
                <c:pt idx="40">
                  <c:v>106.34496958571246</c:v>
                </c:pt>
                <c:pt idx="41">
                  <c:v>106.07700487071772</c:v>
                </c:pt>
                <c:pt idx="42">
                  <c:v>105.80772285616688</c:v>
                </c:pt>
                <c:pt idx="43">
                  <c:v>105.53713027523555</c:v>
                </c:pt>
                <c:pt idx="44">
                  <c:v>105.26523390446816</c:v>
                </c:pt>
                <c:pt idx="45">
                  <c:v>104.99204056431063</c:v>
                </c:pt>
                <c:pt idx="46">
                  <c:v>104.71755711950361</c:v>
                </c:pt>
                <c:pt idx="47">
                  <c:v>104.44179047935448</c:v>
                </c:pt>
                <c:pt idx="48">
                  <c:v>104.16474759790343</c:v>
                </c:pt>
                <c:pt idx="49">
                  <c:v>103.8864354739969</c:v>
                </c:pt>
                <c:pt idx="50">
                  <c:v>103.60686115127963</c:v>
                </c:pt>
                <c:pt idx="51">
                  <c:v>103.39277905949008</c:v>
                </c:pt>
                <c:pt idx="52">
                  <c:v>103.24431966058353</c:v>
                </c:pt>
                <c:pt idx="53">
                  <c:v>103.09478709671009</c:v>
                </c:pt>
                <c:pt idx="54">
                  <c:v>102.94418451363886</c:v>
                </c:pt>
                <c:pt idx="55">
                  <c:v>102.79251509815774</c:v>
                </c:pt>
                <c:pt idx="56">
                  <c:v>102.63978207814958</c:v>
                </c:pt>
                <c:pt idx="57">
                  <c:v>102.48598872263496</c:v>
                </c:pt>
                <c:pt idx="58">
                  <c:v>102.33113834178539</c:v>
                </c:pt>
                <c:pt idx="59">
                  <c:v>102.17523428690913</c:v>
                </c:pt>
                <c:pt idx="60">
                  <c:v>102.01827995041225</c:v>
                </c:pt>
                <c:pt idx="61">
                  <c:v>101.86027876573696</c:v>
                </c:pt>
                <c:pt idx="62">
                  <c:v>101.70123420727907</c:v>
                </c:pt>
                <c:pt idx="63">
                  <c:v>101.54114979028617</c:v>
                </c:pt>
                <c:pt idx="64">
                  <c:v>101.380029070738</c:v>
                </c:pt>
                <c:pt idx="65">
                  <c:v>101.21787564521057</c:v>
                </c:pt>
                <c:pt idx="66">
                  <c:v>101.05469315072477</c:v>
                </c:pt>
                <c:pt idx="67">
                  <c:v>100.89048526458102</c:v>
                </c:pt>
                <c:pt idx="68">
                  <c:v>100.72525570418048</c:v>
                </c:pt>
                <c:pt idx="69">
                  <c:v>100.55900822683401</c:v>
                </c:pt>
                <c:pt idx="70">
                  <c:v>100.39174662955955</c:v>
                </c:pt>
                <c:pt idx="71">
                  <c:v>100.22347474886843</c:v>
                </c:pt>
                <c:pt idx="72">
                  <c:v>100.05419646054166</c:v>
                </c:pt>
                <c:pt idx="73">
                  <c:v>99.883915679396495</c:v>
                </c:pt>
                <c:pt idx="74">
                  <c:v>99.712636359043813</c:v>
                </c:pt>
                <c:pt idx="75">
                  <c:v>99.54036249163687</c:v>
                </c:pt>
                <c:pt idx="76">
                  <c:v>99.367098107611952</c:v>
                </c:pt>
                <c:pt idx="77">
                  <c:v>99.192847275421315</c:v>
                </c:pt>
                <c:pt idx="78">
                  <c:v>99.01761410125853</c:v>
                </c:pt>
                <c:pt idx="79">
                  <c:v>98.84140272877687</c:v>
                </c:pt>
                <c:pt idx="80">
                  <c:v>98.664217338801265</c:v>
                </c:pt>
                <c:pt idx="81">
                  <c:v>98.486062149033373</c:v>
                </c:pt>
                <c:pt idx="82">
                  <c:v>98.306941413750906</c:v>
                </c:pt>
                <c:pt idx="83">
                  <c:v>98.12685942350106</c:v>
                </c:pt>
                <c:pt idx="84">
                  <c:v>97.945820504787974</c:v>
                </c:pt>
                <c:pt idx="85">
                  <c:v>97.763829019755377</c:v>
                </c:pt>
                <c:pt idx="86">
                  <c:v>97.58088936586357</c:v>
                </c:pt>
                <c:pt idx="87">
                  <c:v>97.39700597556174</c:v>
                </c:pt>
                <c:pt idx="88">
                  <c:v>97.212183315955187</c:v>
                </c:pt>
                <c:pt idx="89">
                  <c:v>97.026425888468509</c:v>
                </c:pt>
                <c:pt idx="90">
                  <c:v>96.839738228503677</c:v>
                </c:pt>
                <c:pt idx="91">
                  <c:v>96.652124905094382</c:v>
                </c:pt>
                <c:pt idx="92">
                  <c:v>96.463590520555996</c:v>
                </c:pt>
                <c:pt idx="93">
                  <c:v>96.274139710131706</c:v>
                </c:pt>
                <c:pt idx="94">
                  <c:v>96.083777141634769</c:v>
                </c:pt>
                <c:pt idx="95">
                  <c:v>95.89250751508709</c:v>
                </c:pt>
                <c:pt idx="96">
                  <c:v>95.700335562354226</c:v>
                </c:pt>
                <c:pt idx="97">
                  <c:v>95.507266046777062</c:v>
                </c:pt>
                <c:pt idx="98">
                  <c:v>95.313303762800075</c:v>
                </c:pt>
                <c:pt idx="99">
                  <c:v>95.118453535596387</c:v>
                </c:pt>
                <c:pt idx="100">
                  <c:v>94.922720220689868</c:v>
                </c:pt>
                <c:pt idx="101">
                  <c:v>94.695147832183537</c:v>
                </c:pt>
                <c:pt idx="102">
                  <c:v>94.435701158326637</c:v>
                </c:pt>
                <c:pt idx="103">
                  <c:v>94.175340818291943</c:v>
                </c:pt>
                <c:pt idx="104">
                  <c:v>93.914073608462516</c:v>
                </c:pt>
                <c:pt idx="105">
                  <c:v>93.651906350968048</c:v>
                </c:pt>
                <c:pt idx="106">
                  <c:v>93.388845893111537</c:v>
                </c:pt>
                <c:pt idx="107">
                  <c:v>93.124899106794331</c:v>
                </c:pt>
                <c:pt idx="108">
                  <c:v>92.860072887939609</c:v>
                </c:pt>
                <c:pt idx="109">
                  <c:v>92.594374155914792</c:v>
                </c:pt>
                <c:pt idx="110">
                  <c:v>92.327809852952583</c:v>
                </c:pt>
                <c:pt idx="111">
                  <c:v>92.060386943571061</c:v>
                </c:pt>
                <c:pt idx="112">
                  <c:v>91.792112413992655</c:v>
                </c:pt>
                <c:pt idx="113">
                  <c:v>91.522993271562484</c:v>
                </c:pt>
                <c:pt idx="114">
                  <c:v>91.253036544165809</c:v>
                </c:pt>
                <c:pt idx="115">
                  <c:v>90.982249279644989</c:v>
                </c:pt>
                <c:pt idx="116">
                  <c:v>90.710638545215716</c:v>
                </c:pt>
                <c:pt idx="117">
                  <c:v>90.438211426883171</c:v>
                </c:pt>
                <c:pt idx="118">
                  <c:v>90.164975028857356</c:v>
                </c:pt>
                <c:pt idx="119">
                  <c:v>89.890936472968846</c:v>
                </c:pt>
                <c:pt idx="120">
                  <c:v>89.616102898083923</c:v>
                </c:pt>
                <c:pt idx="121">
                  <c:v>89.340481459519992</c:v>
                </c:pt>
                <c:pt idx="122">
                  <c:v>89.064079328460906</c:v>
                </c:pt>
                <c:pt idx="123">
                  <c:v>88.786903691372643</c:v>
                </c:pt>
                <c:pt idx="124">
                  <c:v>88.5089617494191</c:v>
                </c:pt>
                <c:pt idx="125">
                  <c:v>88.230260717878394</c:v>
                </c:pt>
                <c:pt idx="126">
                  <c:v>87.950807825559608</c:v>
                </c:pt>
                <c:pt idx="127">
                  <c:v>87.670610314219985</c:v>
                </c:pt>
                <c:pt idx="128">
                  <c:v>87.389675437982888</c:v>
                </c:pt>
                <c:pt idx="129">
                  <c:v>87.108010462756525</c:v>
                </c:pt>
                <c:pt idx="130">
                  <c:v>86.825622665653313</c:v>
                </c:pt>
                <c:pt idx="131">
                  <c:v>86.542519334410329</c:v>
                </c:pt>
                <c:pt idx="132">
                  <c:v>86.258707766810815</c:v>
                </c:pt>
                <c:pt idx="133">
                  <c:v>85.974195270106463</c:v>
                </c:pt>
                <c:pt idx="134">
                  <c:v>85.688989160441309</c:v>
                </c:pt>
                <c:pt idx="135">
                  <c:v>85.40309676227632</c:v>
                </c:pt>
                <c:pt idx="136">
                  <c:v>85.116525407815899</c:v>
                </c:pt>
                <c:pt idx="137">
                  <c:v>84.829282436435449</c:v>
                </c:pt>
                <c:pt idx="138">
                  <c:v>84.541375194110429</c:v>
                </c:pt>
                <c:pt idx="139">
                  <c:v>84.252811032847234</c:v>
                </c:pt>
                <c:pt idx="140">
                  <c:v>83.963597310115304</c:v>
                </c:pt>
                <c:pt idx="141">
                  <c:v>83.673741388281442</c:v>
                </c:pt>
                <c:pt idx="142">
                  <c:v>83.383250634045567</c:v>
                </c:pt>
                <c:pt idx="143">
                  <c:v>83.092132417878517</c:v>
                </c:pt>
                <c:pt idx="144">
                  <c:v>82.800394113461721</c:v>
                </c:pt>
                <c:pt idx="145">
                  <c:v>82.508043097128976</c:v>
                </c:pt>
                <c:pt idx="146">
                  <c:v>82.215086747310238</c:v>
                </c:pt>
                <c:pt idx="147">
                  <c:v>81.92153244397764</c:v>
                </c:pt>
                <c:pt idx="148">
                  <c:v>81.627387568093667</c:v>
                </c:pt>
                <c:pt idx="149">
                  <c:v>81.332659501061769</c:v>
                </c:pt>
                <c:pt idx="150">
                  <c:v>81.037355624179156</c:v>
                </c:pt>
                <c:pt idx="151">
                  <c:v>80.752076035749312</c:v>
                </c:pt>
                <c:pt idx="152">
                  <c:v>80.476835452576765</c:v>
                </c:pt>
                <c:pt idx="153">
                  <c:v>80.201044930723668</c:v>
                </c:pt>
                <c:pt idx="154">
                  <c:v>79.924711258694586</c:v>
                </c:pt>
                <c:pt idx="155">
                  <c:v>79.64784122490606</c:v>
                </c:pt>
                <c:pt idx="156">
                  <c:v>79.370441617203511</c:v>
                </c:pt>
                <c:pt idx="157">
                  <c:v>79.092519222379977</c:v>
                </c:pt>
                <c:pt idx="158">
                  <c:v>78.814080825697275</c:v>
                </c:pt>
                <c:pt idx="159">
                  <c:v>78.535133210409342</c:v>
                </c:pt>
                <c:pt idx="160">
                  <c:v>78.255683157288232</c:v>
                </c:pt>
                <c:pt idx="161">
                  <c:v>77.975737444152259</c:v>
                </c:pt>
                <c:pt idx="162">
                  <c:v>77.695302845396597</c:v>
                </c:pt>
                <c:pt idx="163">
                  <c:v>77.414386131526669</c:v>
                </c:pt>
                <c:pt idx="164">
                  <c:v>77.13299406869379</c:v>
                </c:pt>
                <c:pt idx="165">
                  <c:v>76.851133418233729</c:v>
                </c:pt>
                <c:pt idx="166">
                  <c:v>76.568810936207711</c:v>
                </c:pt>
                <c:pt idx="167">
                  <c:v>76.286033372946264</c:v>
                </c:pt>
                <c:pt idx="168">
                  <c:v>76.002807472595748</c:v>
                </c:pt>
                <c:pt idx="169">
                  <c:v>75.719139972667818</c:v>
                </c:pt>
                <c:pt idx="170">
                  <c:v>75.435037603591582</c:v>
                </c:pt>
                <c:pt idx="171">
                  <c:v>75.150507088268867</c:v>
                </c:pt>
                <c:pt idx="172">
                  <c:v>74.865555141632143</c:v>
                </c:pt>
                <c:pt idx="173">
                  <c:v>74.580188470205798</c:v>
                </c:pt>
                <c:pt idx="174">
                  <c:v>74.294413771670108</c:v>
                </c:pt>
                <c:pt idx="175">
                  <c:v>74.008237734428491</c:v>
                </c:pt>
                <c:pt idx="176">
                  <c:v>73.721667037177752</c:v>
                </c:pt>
                <c:pt idx="177">
                  <c:v>73.434708348481593</c:v>
                </c:pt>
                <c:pt idx="178">
                  <c:v>73.147368326347191</c:v>
                </c:pt>
                <c:pt idx="179">
                  <c:v>72.859653617805094</c:v>
                </c:pt>
                <c:pt idx="180">
                  <c:v>72.571570858492393</c:v>
                </c:pt>
                <c:pt idx="181">
                  <c:v>72.283126672238964</c:v>
                </c:pt>
                <c:pt idx="182">
                  <c:v>71.994327670657512</c:v>
                </c:pt>
                <c:pt idx="183">
                  <c:v>71.705180452736499</c:v>
                </c:pt>
                <c:pt idx="184">
                  <c:v>71.415691604436773</c:v>
                </c:pt>
                <c:pt idx="185">
                  <c:v>71.125867698291472</c:v>
                </c:pt>
                <c:pt idx="186">
                  <c:v>70.835715293009514</c:v>
                </c:pt>
                <c:pt idx="187">
                  <c:v>70.545240933082624</c:v>
                </c:pt>
                <c:pt idx="188">
                  <c:v>70.254451148395589</c:v>
                </c:pt>
                <c:pt idx="189">
                  <c:v>69.963352453840471</c:v>
                </c:pt>
                <c:pt idx="190">
                  <c:v>69.671951348934229</c:v>
                </c:pt>
                <c:pt idx="191">
                  <c:v>69.380254317439821</c:v>
                </c:pt>
                <c:pt idx="192">
                  <c:v>69.088267826991114</c:v>
                </c:pt>
                <c:pt idx="193">
                  <c:v>68.795998328721581</c:v>
                </c:pt>
                <c:pt idx="194">
                  <c:v>68.503452256896281</c:v>
                </c:pt>
                <c:pt idx="195">
                  <c:v>68.210636028548038</c:v>
                </c:pt>
                <c:pt idx="196">
                  <c:v>67.917556043116988</c:v>
                </c:pt>
                <c:pt idx="197">
                  <c:v>67.624218682094153</c:v>
                </c:pt>
                <c:pt idx="198">
                  <c:v>67.330630308668518</c:v>
                </c:pt>
                <c:pt idx="199">
                  <c:v>67.036797267378233</c:v>
                </c:pt>
                <c:pt idx="200">
                  <c:v>66.742725883765445</c:v>
                </c:pt>
                <c:pt idx="201">
                  <c:v>66.448422464034962</c:v>
                </c:pt>
                <c:pt idx="202">
                  <c:v>66.15389329471688</c:v>
                </c:pt>
                <c:pt idx="203">
                  <c:v>65.859144642333121</c:v>
                </c:pt>
                <c:pt idx="204">
                  <c:v>65.564182753067584</c:v>
                </c:pt>
                <c:pt idx="205">
                  <c:v>65.26901385244075</c:v>
                </c:pt>
                <c:pt idx="206">
                  <c:v>64.973644144987588</c:v>
                </c:pt>
                <c:pt idx="207">
                  <c:v>64.678079813939846</c:v>
                </c:pt>
                <c:pt idx="208">
                  <c:v>64.382327020912271</c:v>
                </c:pt>
                <c:pt idx="209">
                  <c:v>64.086391905592464</c:v>
                </c:pt>
                <c:pt idx="210">
                  <c:v>63.790280585435212</c:v>
                </c:pt>
                <c:pt idx="211">
                  <c:v>63.49399915536037</c:v>
                </c:pt>
                <c:pt idx="212">
                  <c:v>63.197553687455006</c:v>
                </c:pt>
                <c:pt idx="213">
                  <c:v>62.90095023067952</c:v>
                </c:pt>
                <c:pt idx="214">
                  <c:v>62.604194810577752</c:v>
                </c:pt>
                <c:pt idx="215">
                  <c:v>62.307293428991159</c:v>
                </c:pt>
                <c:pt idx="216">
                  <c:v>62.010252063776974</c:v>
                </c:pt>
                <c:pt idx="217">
                  <c:v>61.713076668530441</c:v>
                </c:pt>
                <c:pt idx="218">
                  <c:v>61.415773172311262</c:v>
                </c:pt>
                <c:pt idx="219">
                  <c:v>61.118347479373739</c:v>
                </c:pt>
                <c:pt idx="220">
                  <c:v>60.820805468901476</c:v>
                </c:pt>
                <c:pt idx="221">
                  <c:v>60.523152994745622</c:v>
                </c:pt>
                <c:pt idx="222">
                  <c:v>60.225395885167622</c:v>
                </c:pt>
                <c:pt idx="223">
                  <c:v>59.927539942585852</c:v>
                </c:pt>
                <c:pt idx="224">
                  <c:v>59.6295909433262</c:v>
                </c:pt>
                <c:pt idx="225">
                  <c:v>59.331554637377174</c:v>
                </c:pt>
                <c:pt idx="226">
                  <c:v>59.033436748148439</c:v>
                </c:pt>
                <c:pt idx="227">
                  <c:v>58.735242972234118</c:v>
                </c:pt>
                <c:pt idx="228">
                  <c:v>58.436978979179599</c:v>
                </c:pt>
                <c:pt idx="229">
                  <c:v>58.138650411252748</c:v>
                </c:pt>
                <c:pt idx="230">
                  <c:v>57.840262883219225</c:v>
                </c:pt>
                <c:pt idx="231">
                  <c:v>57.54182198212154</c:v>
                </c:pt>
                <c:pt idx="232">
                  <c:v>57.243333267062631</c:v>
                </c:pt>
                <c:pt idx="233">
                  <c:v>56.944802268993051</c:v>
                </c:pt>
                <c:pt idx="234">
                  <c:v>56.646234490502607</c:v>
                </c:pt>
                <c:pt idx="235">
                  <c:v>56.347635405615897</c:v>
                </c:pt>
                <c:pt idx="236">
                  <c:v>56.049010459591678</c:v>
                </c:pt>
                <c:pt idx="237">
                  <c:v>55.750365068726765</c:v>
                </c:pt>
                <c:pt idx="238">
                  <c:v>55.451704620163468</c:v>
                </c:pt>
                <c:pt idx="239">
                  <c:v>55.153034471701389</c:v>
                </c:pt>
                <c:pt idx="240">
                  <c:v>54.854359951613091</c:v>
                </c:pt>
                <c:pt idx="241">
                  <c:v>54.555686358463774</c:v>
                </c:pt>
                <c:pt idx="242">
                  <c:v>54.257018960935113</c:v>
                </c:pt>
                <c:pt idx="243">
                  <c:v>53.958362997652742</c:v>
                </c:pt>
                <c:pt idx="244">
                  <c:v>53.659723677018178</c:v>
                </c:pt>
                <c:pt idx="245">
                  <c:v>53.361106177044356</c:v>
                </c:pt>
                <c:pt idx="246">
                  <c:v>53.062515645195177</c:v>
                </c:pt>
                <c:pt idx="247">
                  <c:v>52.763957198229235</c:v>
                </c:pt>
                <c:pt idx="248">
                  <c:v>52.465435922047085</c:v>
                </c:pt>
                <c:pt idx="249">
                  <c:v>52.166956871542929</c:v>
                </c:pt>
                <c:pt idx="250">
                  <c:v>51.86852507045964</c:v>
                </c:pt>
                <c:pt idx="251">
                  <c:v>51.524028394677174</c:v>
                </c:pt>
                <c:pt idx="252">
                  <c:v>51.133488003608136</c:v>
                </c:pt>
                <c:pt idx="253">
                  <c:v>50.74308078889743</c:v>
                </c:pt>
                <c:pt idx="254">
                  <c:v>50.352813569154208</c:v>
                </c:pt>
                <c:pt idx="255">
                  <c:v>49.962693109977543</c:v>
                </c:pt>
                <c:pt idx="256">
                  <c:v>49.572726123796869</c:v>
                </c:pt>
                <c:pt idx="257">
                  <c:v>49.182919269719306</c:v>
                </c:pt>
                <c:pt idx="258">
                  <c:v>48.793279153383679</c:v>
                </c:pt>
                <c:pt idx="259">
                  <c:v>48.403812326821516</c:v>
                </c:pt>
                <c:pt idx="260">
                  <c:v>48.014525288324656</c:v>
                </c:pt>
                <c:pt idx="261">
                  <c:v>47.625424482319744</c:v>
                </c:pt>
                <c:pt idx="262">
                  <c:v>47.236516299249189</c:v>
                </c:pt>
                <c:pt idx="263">
                  <c:v>46.847807075458903</c:v>
                </c:pt>
                <c:pt idx="264">
                  <c:v>46.459303093092579</c:v>
                </c:pt>
                <c:pt idx="265">
                  <c:v>46.071010579992446</c:v>
                </c:pt>
                <c:pt idx="266">
                  <c:v>45.682935709606554</c:v>
                </c:pt>
                <c:pt idx="267">
                  <c:v>45.295084600902449</c:v>
                </c:pt>
                <c:pt idx="268">
                  <c:v>44.907463318287242</c:v>
                </c:pt>
                <c:pt idx="269">
                  <c:v>44.520077871534014</c:v>
                </c:pt>
                <c:pt idx="270">
                  <c:v>44.132934215714549</c:v>
                </c:pt>
                <c:pt idx="271">
                  <c:v>43.74603825113806</c:v>
                </c:pt>
                <c:pt idx="272">
                  <c:v>43.359395823296396</c:v>
                </c:pt>
                <c:pt idx="273">
                  <c:v>42.973012722815227</c:v>
                </c:pt>
                <c:pt idx="274">
                  <c:v>42.586894685411139</c:v>
                </c:pt>
                <c:pt idx="275">
                  <c:v>42.201047391855056</c:v>
                </c:pt>
                <c:pt idx="276">
                  <c:v>41.815476467941352</c:v>
                </c:pt>
                <c:pt idx="277">
                  <c:v>41.430187484462969</c:v>
                </c:pt>
                <c:pt idx="278">
                  <c:v>41.045185957192331</c:v>
                </c:pt>
                <c:pt idx="279">
                  <c:v>40.66047734686812</c:v>
                </c:pt>
                <c:pt idx="280">
                  <c:v>40.276067059187724</c:v>
                </c:pt>
                <c:pt idx="281">
                  <c:v>39.891960444805356</c:v>
                </c:pt>
                <c:pt idx="282">
                  <c:v>39.508162799335778</c:v>
                </c:pt>
                <c:pt idx="283">
                  <c:v>39.124679363363725</c:v>
                </c:pt>
                <c:pt idx="284">
                  <c:v>38.741515322458469</c:v>
                </c:pt>
                <c:pt idx="285">
                  <c:v>38.358675807194317</c:v>
                </c:pt>
                <c:pt idx="286">
                  <c:v>37.976165893176088</c:v>
                </c:pt>
                <c:pt idx="287">
                  <c:v>37.59399060107004</c:v>
                </c:pt>
                <c:pt idx="288">
                  <c:v>37.212154896640172</c:v>
                </c:pt>
                <c:pt idx="289">
                  <c:v>36.830663690789606</c:v>
                </c:pt>
                <c:pt idx="290">
                  <c:v>36.449521839607058</c:v>
                </c:pt>
                <c:pt idx="291">
                  <c:v>36.068734144418627</c:v>
                </c:pt>
                <c:pt idx="292">
                  <c:v>35.688305351844278</c:v>
                </c:pt>
                <c:pt idx="293">
                  <c:v>35.308240153859551</c:v>
                </c:pt>
                <c:pt idx="294">
                  <c:v>34.928543187862118</c:v>
                </c:pt>
                <c:pt idx="295">
                  <c:v>34.549219036743082</c:v>
                </c:pt>
                <c:pt idx="296">
                  <c:v>34.1702722289631</c:v>
                </c:pt>
                <c:pt idx="297">
                  <c:v>33.791707238633286</c:v>
                </c:pt>
                <c:pt idx="298">
                  <c:v>32.905647856283615</c:v>
                </c:pt>
                <c:pt idx="299">
                  <c:v>31.512538869450864</c:v>
                </c:pt>
                <c:pt idx="300">
                  <c:v>30.121061386579328</c:v>
                </c:pt>
                <c:pt idx="301">
                  <c:v>28.731251260780589</c:v>
                </c:pt>
                <c:pt idx="302">
                  <c:v>27.343143701931638</c:v>
                </c:pt>
                <c:pt idx="303">
                  <c:v>25.956773277285244</c:v>
                </c:pt>
                <c:pt idx="304">
                  <c:v>24.572173912216584</c:v>
                </c:pt>
                <c:pt idx="305">
                  <c:v>23.18937889110391</c:v>
                </c:pt>
                <c:pt idx="306">
                  <c:v>21.808420858341044</c:v>
                </c:pt>
                <c:pt idx="307">
                  <c:v>20.429331819478975</c:v>
                </c:pt>
                <c:pt idx="308">
                  <c:v>19.052143142493996</c:v>
                </c:pt>
                <c:pt idx="309">
                  <c:v>17.676885559180494</c:v>
                </c:pt>
                <c:pt idx="310">
                  <c:v>16.30358916666529</c:v>
                </c:pt>
                <c:pt idx="311">
                  <c:v>14.932283429041298</c:v>
                </c:pt>
                <c:pt idx="312">
                  <c:v>13.562997179118263</c:v>
                </c:pt>
                <c:pt idx="313">
                  <c:v>12.195758620287418</c:v>
                </c:pt>
                <c:pt idx="314">
                  <c:v>10.830595328498333</c:v>
                </c:pt>
                <c:pt idx="315">
                  <c:v>9.4675342543449563</c:v>
                </c:pt>
                <c:pt idx="316">
                  <c:v>8.1066017252583524</c:v>
                </c:pt>
                <c:pt idx="317">
                  <c:v>6.7478234478038974</c:v>
                </c:pt>
                <c:pt idx="318">
                  <c:v>5.3912245100802014</c:v>
                </c:pt>
                <c:pt idx="319">
                  <c:v>4.036829384217274</c:v>
                </c:pt>
                <c:pt idx="320">
                  <c:v>2.6846619289714901</c:v>
                </c:pt>
                <c:pt idx="321">
                  <c:v>1.5369355794120327</c:v>
                </c:pt>
                <c:pt idx="322">
                  <c:v>0.59336256527489795</c:v>
                </c:pt>
                <c:pt idx="323">
                  <c:v>-0.34861345190328485</c:v>
                </c:pt>
                <c:pt idx="324">
                  <c:v>-1.2889830102521884</c:v>
                </c:pt>
                <c:pt idx="325">
                  <c:v>-2.2277369387490982</c:v>
                </c:pt>
                <c:pt idx="326">
                  <c:v>-3.164866355465203</c:v>
                </c:pt>
                <c:pt idx="327">
                  <c:v>-4.1003626657886887</c:v>
                </c:pt>
                <c:pt idx="328">
                  <c:v>-5.0342175606252315</c:v>
                </c:pt>
                <c:pt idx="329">
                  <c:v>-5.9664230145769981</c:v>
                </c:pt>
                <c:pt idx="330">
                  <c:v>-6.8969712841008635</c:v>
                </c:pt>
                <c:pt idx="331">
                  <c:v>-7.8258549056466293</c:v>
                </c:pt>
                <c:pt idx="332">
                  <c:v>-8.7530666937760859</c:v>
                </c:pt>
                <c:pt idx="333">
                  <c:v>-9.6785997392637526</c:v>
                </c:pt>
                <c:pt idx="334">
                  <c:v>-10.602447407180017</c:v>
                </c:pt>
                <c:pt idx="335">
                  <c:v>-11.524603334957515</c:v>
                </c:pt>
                <c:pt idx="336">
                  <c:v>-12.445061430441516</c:v>
                </c:pt>
                <c:pt idx="337">
                  <c:v>-13.36381586992503</c:v>
                </c:pt>
                <c:pt idx="338">
                  <c:v>-14.280861096169481</c:v>
                </c:pt>
                <c:pt idx="339">
                  <c:v>-15.196191816411648</c:v>
                </c:pt>
                <c:pt idx="340">
                  <c:v>-16.109803000357651</c:v>
                </c:pt>
                <c:pt idx="341">
                  <c:v>-17.021689878164619</c:v>
                </c:pt>
                <c:pt idx="342">
                  <c:v>-17.931847938410939</c:v>
                </c:pt>
                <c:pt idx="343">
                  <c:v>-18.840272926055661</c:v>
                </c:pt>
                <c:pt idx="344">
                  <c:v>-19.746960840387793</c:v>
                </c:pt>
                <c:pt idx="345">
                  <c:v>-20.651907932966264</c:v>
                </c:pt>
                <c:pt idx="346">
                  <c:v>-21.555110705551108</c:v>
                </c:pt>
                <c:pt idx="347">
                  <c:v>-22.456565908026761</c:v>
                </c:pt>
                <c:pt idx="348">
                  <c:v>-23.334454361508641</c:v>
                </c:pt>
                <c:pt idx="349">
                  <c:v>-24.188816934597227</c:v>
                </c:pt>
                <c:pt idx="350">
                  <c:v>-25.041513375181307</c:v>
                </c:pt>
                <c:pt idx="351">
                  <c:v>-25.892542045707522</c:v>
                </c:pt>
                <c:pt idx="352">
                  <c:v>-26.741901521708201</c:v>
                </c:pt>
                <c:pt idx="353">
                  <c:v>-27.589590589883713</c:v>
                </c:pt>
                <c:pt idx="354">
                  <c:v>-28.43560824618298</c:v>
                </c:pt>
                <c:pt idx="355">
                  <c:v>-29.279953693882703</c:v>
                </c:pt>
                <c:pt idx="356">
                  <c:v>-30.122626341665626</c:v>
                </c:pt>
                <c:pt idx="357">
                  <c:v>-30.963625801698612</c:v>
                </c:pt>
                <c:pt idx="358">
                  <c:v>-31.802951887710819</c:v>
                </c:pt>
                <c:pt idx="359">
                  <c:v>-32.640604613072597</c:v>
                </c:pt>
                <c:pt idx="360">
                  <c:v>-33.022856258592689</c:v>
                </c:pt>
                <c:pt idx="361">
                  <c:v>-32.950685981953306</c:v>
                </c:pt>
                <c:pt idx="362">
                  <c:v>-32.8787965433268</c:v>
                </c:pt>
                <c:pt idx="363">
                  <c:v>-32.807186485488856</c:v>
                </c:pt>
                <c:pt idx="364">
                  <c:v>-32.735854360741314</c:v>
                </c:pt>
                <c:pt idx="365">
                  <c:v>-32.664798730837212</c:v>
                </c:pt>
                <c:pt idx="366">
                  <c:v>-32.594018166906451</c:v>
                </c:pt>
                <c:pt idx="367">
                  <c:v>-32.523511249382182</c:v>
                </c:pt>
                <c:pt idx="368">
                  <c:v>-32.453276567927944</c:v>
                </c:pt>
                <c:pt idx="369">
                  <c:v>-32.3833127213653</c:v>
                </c:pt>
                <c:pt idx="370">
                  <c:v>-32.313618317602298</c:v>
                </c:pt>
                <c:pt idx="371">
                  <c:v>-32.244191973562494</c:v>
                </c:pt>
                <c:pt idx="372">
                  <c:v>-32.175032315114663</c:v>
                </c:pt>
                <c:pt idx="373">
                  <c:v>-32.106137977003129</c:v>
                </c:pt>
                <c:pt idx="374">
                  <c:v>-32.037507602778703</c:v>
                </c:pt>
                <c:pt idx="375">
                  <c:v>-31.969139844730329</c:v>
                </c:pt>
                <c:pt idx="376">
                  <c:v>-31.901033363817337</c:v>
                </c:pt>
                <c:pt idx="377">
                  <c:v>-31.833186829602155</c:v>
                </c:pt>
                <c:pt idx="378">
                  <c:v>-31.765598920183862</c:v>
                </c:pt>
                <c:pt idx="379">
                  <c:v>-31.698268322132222</c:v>
                </c:pt>
                <c:pt idx="380">
                  <c:v>-31.631193730422261</c:v>
                </c:pt>
                <c:pt idx="381">
                  <c:v>-31.564373848369549</c:v>
                </c:pt>
                <c:pt idx="382">
                  <c:v>-31.497807387565999</c:v>
                </c:pt>
                <c:pt idx="383">
                  <c:v>-31.431493067816255</c:v>
                </c:pt>
                <c:pt idx="384">
                  <c:v>-31.365429617074668</c:v>
                </c:pt>
                <c:pt idx="385">
                  <c:v>-31.299615771382804</c:v>
                </c:pt>
                <c:pt idx="386">
                  <c:v>-31.234050274807554</c:v>
                </c:pt>
                <c:pt idx="387">
                  <c:v>-31.168731879379749</c:v>
                </c:pt>
                <c:pt idx="388">
                  <c:v>-31.10365934503335</c:v>
                </c:pt>
                <c:pt idx="389">
                  <c:v>-31.038831439545216</c:v>
                </c:pt>
                <c:pt idx="390">
                  <c:v>-30.974246938475339</c:v>
                </c:pt>
                <c:pt idx="391">
                  <c:v>-30.909904625107671</c:v>
                </c:pt>
                <c:pt idx="392">
                  <c:v>-30.84580329039143</c:v>
                </c:pt>
                <c:pt idx="393">
                  <c:v>-30.781941732882952</c:v>
                </c:pt>
                <c:pt idx="394">
                  <c:v>-30.718318758688042</c:v>
                </c:pt>
                <c:pt idx="395">
                  <c:v>-30.654933181404921</c:v>
                </c:pt>
                <c:pt idx="396">
                  <c:v>-30.591783822067473</c:v>
                </c:pt>
                <c:pt idx="397">
                  <c:v>-30.528869509089279</c:v>
                </c:pt>
                <c:pt idx="398">
                  <c:v>-30.466189078207886</c:v>
                </c:pt>
                <c:pt idx="399">
                  <c:v>-30.4037413724297</c:v>
                </c:pt>
                <c:pt idx="400">
                  <c:v>-30.341525241975319</c:v>
                </c:pt>
                <c:pt idx="401">
                  <c:v>-30.279539544225443</c:v>
                </c:pt>
                <c:pt idx="402">
                  <c:v>-29.666987646151728</c:v>
                </c:pt>
                <c:pt idx="403">
                  <c:v>-29.076716799486746</c:v>
                </c:pt>
                <c:pt idx="404">
                  <c:v>-28.50765871263404</c:v>
                </c:pt>
                <c:pt idx="405">
                  <c:v>-27.958809066570666</c:v>
                </c:pt>
                <c:pt idx="406">
                  <c:v>-27.429222944851698</c:v>
                </c:pt>
                <c:pt idx="407">
                  <c:v>-26.918010641531005</c:v>
                </c:pt>
                <c:pt idx="408">
                  <c:v>-26.424333811572744</c:v>
                </c:pt>
                <c:pt idx="409">
                  <c:v>-25.947401932030083</c:v>
                </c:pt>
                <c:pt idx="410">
                  <c:v>-25.486469045543412</c:v>
                </c:pt>
                <c:pt idx="411">
                  <c:v>-25.040830760613936</c:v>
                </c:pt>
                <c:pt idx="412">
                  <c:v>-24.609821485685721</c:v>
                </c:pt>
                <c:pt idx="413">
                  <c:v>-24.192811876359947</c:v>
                </c:pt>
                <c:pt idx="414">
                  <c:v>-23.789206477104514</c:v>
                </c:pt>
                <c:pt idx="415">
                  <c:v>-23.398441540639276</c:v>
                </c:pt>
                <c:pt idx="416">
                  <c:v>-23.019983009799937</c:v>
                </c:pt>
                <c:pt idx="417">
                  <c:v>-22.65332464813298</c:v>
                </c:pt>
                <c:pt idx="418">
                  <c:v>-22.297986306771747</c:v>
                </c:pt>
                <c:pt idx="419">
                  <c:v>-21.953512316305869</c:v>
                </c:pt>
                <c:pt idx="420">
                  <c:v>-21.619469993399193</c:v>
                </c:pt>
                <c:pt idx="421">
                  <c:v>-21.295448252847642</c:v>
                </c:pt>
                <c:pt idx="422">
                  <c:v>-20.981056316610587</c:v>
                </c:pt>
                <c:pt idx="423">
                  <c:v>-20.675922512107306</c:v>
                </c:pt>
                <c:pt idx="424">
                  <c:v>-20.379693152753163</c:v>
                </c:pt>
                <c:pt idx="425">
                  <c:v>-20.092031494326264</c:v>
                </c:pt>
                <c:pt idx="426">
                  <c:v>-19.812616761312192</c:v>
                </c:pt>
                <c:pt idx="427">
                  <c:v>-19.541143237877186</c:v>
                </c:pt>
                <c:pt idx="428">
                  <c:v>-19.277319418575772</c:v>
                </c:pt>
                <c:pt idx="429">
                  <c:v>-19.020867214311007</c:v>
                </c:pt>
                <c:pt idx="430">
                  <c:v>-18.771521209439719</c:v>
                </c:pt>
                <c:pt idx="431">
                  <c:v>-18.5290279662544</c:v>
                </c:pt>
                <c:pt idx="432">
                  <c:v>-18.293145373381705</c:v>
                </c:pt>
                <c:pt idx="433">
                  <c:v>-18.063642034917926</c:v>
                </c:pt>
                <c:pt idx="434">
                  <c:v>-17.840296697376754</c:v>
                </c:pt>
                <c:pt idx="435">
                  <c:v>-17.622897711757158</c:v>
                </c:pt>
                <c:pt idx="436">
                  <c:v>-17.4112425282507</c:v>
                </c:pt>
                <c:pt idx="437">
                  <c:v>-17.205137221300948</c:v>
                </c:pt>
                <c:pt idx="438">
                  <c:v>-17.004396042903959</c:v>
                </c:pt>
                <c:pt idx="439">
                  <c:v>-16.80884100219971</c:v>
                </c:pt>
                <c:pt idx="440">
                  <c:v>-16.618301469551774</c:v>
                </c:pt>
                <c:pt idx="441">
                  <c:v>-16.432613803447033</c:v>
                </c:pt>
                <c:pt idx="442">
                  <c:v>-16.251620998670639</c:v>
                </c:pt>
                <c:pt idx="443">
                  <c:v>-16.075172354324124</c:v>
                </c:pt>
                <c:pt idx="444">
                  <c:v>-15.903123160358048</c:v>
                </c:pt>
                <c:pt idx="445">
                  <c:v>-15.735334401385231</c:v>
                </c:pt>
                <c:pt idx="446">
                  <c:v>-15.57167247662764</c:v>
                </c:pt>
                <c:pt idx="447">
                  <c:v>-15.412008934929348</c:v>
                </c:pt>
                <c:pt idx="448">
                  <c:v>-15.256220223841382</c:v>
                </c:pt>
                <c:pt idx="449">
                  <c:v>-15.104187451850896</c:v>
                </c:pt>
                <c:pt idx="450">
                  <c:v>-14.955796162888744</c:v>
                </c:pt>
                <c:pt idx="451">
                  <c:v>-14.810936122305701</c:v>
                </c:pt>
                <c:pt idx="452">
                  <c:v>-14.669501113559065</c:v>
                </c:pt>
                <c:pt idx="453">
                  <c:v>-14.531388744898674</c:v>
                </c:pt>
                <c:pt idx="454">
                  <c:v>-14.39650026538434</c:v>
                </c:pt>
                <c:pt idx="455">
                  <c:v>-14.264740389606025</c:v>
                </c:pt>
                <c:pt idx="456">
                  <c:v>-14.13601713051407</c:v>
                </c:pt>
                <c:pt idx="457">
                  <c:v>-14.010241639799037</c:v>
                </c:pt>
                <c:pt idx="458">
                  <c:v>-13.887328055290334</c:v>
                </c:pt>
                <c:pt idx="459">
                  <c:v>-13.767193354869132</c:v>
                </c:pt>
                <c:pt idx="460">
                  <c:v>-13.64975721641488</c:v>
                </c:pt>
                <c:pt idx="461">
                  <c:v>-13.534941883325597</c:v>
                </c:pt>
                <c:pt idx="462">
                  <c:v>-13.422672035170738</c:v>
                </c:pt>
                <c:pt idx="463">
                  <c:v>-13.312874663051177</c:v>
                </c:pt>
                <c:pt idx="464">
                  <c:v>-13.205478949254587</c:v>
                </c:pt>
                <c:pt idx="465">
                  <c:v>-13.100416150805346</c:v>
                </c:pt>
                <c:pt idx="466">
                  <c:v>-12.997619486517051</c:v>
                </c:pt>
                <c:pt idx="467">
                  <c:v>-12.897024027161779</c:v>
                </c:pt>
                <c:pt idx="468">
                  <c:v>-12.798566588374198</c:v>
                </c:pt>
                <c:pt idx="469">
                  <c:v>-12.702185625909845</c:v>
                </c:pt>
                <c:pt idx="470">
                  <c:v>-12.607821132875557</c:v>
                </c:pt>
                <c:pt idx="471">
                  <c:v>-12.515414538546018</c:v>
                </c:pt>
                <c:pt idx="472">
                  <c:v>-12.42490860837329</c:v>
                </c:pt>
                <c:pt idx="473">
                  <c:v>-12.336247344786106</c:v>
                </c:pt>
                <c:pt idx="474">
                  <c:v>-12.249375888362332</c:v>
                </c:pt>
                <c:pt idx="475">
                  <c:v>-12.164240418940695</c:v>
                </c:pt>
                <c:pt idx="476">
                  <c:v>-12.080788056216978</c:v>
                </c:pt>
                <c:pt idx="477">
                  <c:v>-11.998966759344274</c:v>
                </c:pt>
                <c:pt idx="478">
                  <c:v>-11.918725225026526</c:v>
                </c:pt>
                <c:pt idx="479">
                  <c:v>-11.840012783558945</c:v>
                </c:pt>
                <c:pt idx="480">
                  <c:v>-11.762779292226927</c:v>
                </c:pt>
                <c:pt idx="481">
                  <c:v>-11.686975025426594</c:v>
                </c:pt>
                <c:pt idx="482">
                  <c:v>-11.612550560813752</c:v>
                </c:pt>
                <c:pt idx="483">
                  <c:v>-11.539456660723099</c:v>
                </c:pt>
                <c:pt idx="484">
                  <c:v>-11.46764414802476</c:v>
                </c:pt>
                <c:pt idx="485">
                  <c:v>-11.397063775499182</c:v>
                </c:pt>
                <c:pt idx="486">
                  <c:v>-11.327666087712725</c:v>
                </c:pt>
                <c:pt idx="487">
                  <c:v>-11.259401274262824</c:v>
                </c:pt>
                <c:pt idx="488">
                  <c:v>-11.192219013131648</c:v>
                </c:pt>
                <c:pt idx="489">
                  <c:v>-11.126068302737737</c:v>
                </c:pt>
                <c:pt idx="490">
                  <c:v>-11.060897281103898</c:v>
                </c:pt>
                <c:pt idx="491">
                  <c:v>-10.996653030362808</c:v>
                </c:pt>
                <c:pt idx="492">
                  <c:v>-10.933281364595674</c:v>
                </c:pt>
                <c:pt idx="493">
                  <c:v>-10.870726598739481</c:v>
                </c:pt>
                <c:pt idx="494">
                  <c:v>-10.808931295999242</c:v>
                </c:pt>
                <c:pt idx="495">
                  <c:v>-10.747835990857261</c:v>
                </c:pt>
                <c:pt idx="496">
                  <c:v>-10.687378884374631</c:v>
                </c:pt>
                <c:pt idx="497">
                  <c:v>-10.627495508022253</c:v>
                </c:pt>
                <c:pt idx="498">
                  <c:v>-10.568118351750194</c:v>
                </c:pt>
                <c:pt idx="499">
                  <c:v>-10.509176451393348</c:v>
                </c:pt>
                <c:pt idx="500">
                  <c:v>-10.450594929805218</c:v>
                </c:pt>
                <c:pt idx="501">
                  <c:v>-10.392294485294158</c:v>
                </c:pt>
                <c:pt idx="502">
                  <c:v>-10.334190819990022</c:v>
                </c:pt>
                <c:pt idx="503">
                  <c:v>-10.276193999672673</c:v>
                </c:pt>
                <c:pt idx="504">
                  <c:v>-10.2182077353228</c:v>
                </c:pt>
                <c:pt idx="505">
                  <c:v>-10.160128575182581</c:v>
                </c:pt>
                <c:pt idx="506">
                  <c:v>-10.101844994406214</c:v>
                </c:pt>
                <c:pt idx="507">
                  <c:v>-10.043236367402464</c:v>
                </c:pt>
                <c:pt idx="508">
                  <c:v>-9.9841718056815481</c:v>
                </c:pt>
                <c:pt idx="509">
                  <c:v>-9.9245088413714484</c:v>
                </c:pt>
                <c:pt idx="510">
                  <c:v>-9.8640919335141515</c:v>
                </c:pt>
                <c:pt idx="511">
                  <c:v>-9.802750770736754</c:v>
                </c:pt>
                <c:pt idx="512">
                  <c:v>-9.7402983398613792</c:v>
                </c:pt>
                <c:pt idx="513">
                  <c:v>-9.6765287254186276</c:v>
                </c:pt>
                <c:pt idx="514">
                  <c:v>-9.6112145998163783</c:v>
                </c:pt>
                <c:pt idx="515">
                  <c:v>-9.5441043580605704</c:v>
                </c:pt>
                <c:pt idx="516">
                  <c:v>-9.4749188444281103</c:v>
                </c:pt>
                <c:pt idx="517">
                  <c:v>-9.4033476114062289</c:v>
                </c:pt>
                <c:pt idx="518">
                  <c:v>-9.3290446436711409</c:v>
                </c:pt>
                <c:pt idx="519">
                  <c:v>-9.2516234721425725</c:v>
                </c:pt>
                <c:pt idx="520">
                  <c:v>-9.1706515956743253</c:v>
                </c:pt>
                <c:pt idx="521">
                  <c:v>-9.085644121468567</c:v>
                </c:pt>
                <c:pt idx="522">
                  <c:v>-8.9960565310031413</c:v>
                </c:pt>
                <c:pt idx="523">
                  <c:v>-8.9012764779244069</c:v>
                </c:pt>
                <c:pt idx="524">
                  <c:v>-8.8006145306551335</c:v>
                </c:pt>
                <c:pt idx="525">
                  <c:v>-8.6932937893160727</c:v>
                </c:pt>
                <c:pt idx="526">
                  <c:v>-8.5784383396086259</c:v>
                </c:pt>
                <c:pt idx="527">
                  <c:v>-8.4550605635507825</c:v>
                </c:pt>
                <c:pt idx="528">
                  <c:v>-8.3220474195065162</c:v>
                </c:pt>
                <c:pt idx="529">
                  <c:v>-8.1781459468783062</c:v>
                </c:pt>
                <c:pt idx="530">
                  <c:v>-8.0219484640348195</c:v>
                </c:pt>
                <c:pt idx="531">
                  <c:v>-7.8518782367597444</c:v>
                </c:pt>
                <c:pt idx="532">
                  <c:v>-7.6661768289957948</c:v>
                </c:pt>
                <c:pt idx="533">
                  <c:v>-7.462894941015346</c:v>
                </c:pt>
                <c:pt idx="534">
                  <c:v>-7.239889322586305</c:v>
                </c:pt>
                <c:pt idx="535">
                  <c:v>-6.9948293357785118</c:v>
                </c:pt>
                <c:pt idx="536">
                  <c:v>-6.7252179135001926</c:v>
                </c:pt>
                <c:pt idx="537">
                  <c:v>-6.4284329253357306</c:v>
                </c:pt>
                <c:pt idx="538">
                  <c:v>-6.1017961121581346</c:v>
                </c:pt>
                <c:pt idx="539">
                  <c:v>-5.742677396147819</c:v>
                </c:pt>
                <c:pt idx="540">
                  <c:v>-5.3486418907438757</c:v>
                </c:pt>
                <c:pt idx="541">
                  <c:v>-4.9176444635491201</c:v>
                </c:pt>
                <c:pt idx="542">
                  <c:v>-4.448271255877235</c:v>
                </c:pt>
                <c:pt idx="543">
                  <c:v>-3.9400183468642154</c:v>
                </c:pt>
                <c:pt idx="544">
                  <c:v>-3.3935847822242784</c:v>
                </c:pt>
                <c:pt idx="545">
                  <c:v>-2.8111420914069356</c:v>
                </c:pt>
                <c:pt idx="546">
                  <c:v>-2.1965290818201257</c:v>
                </c:pt>
                <c:pt idx="547">
                  <c:v>-1.5553151134104923</c:v>
                </c:pt>
                <c:pt idx="548">
                  <c:v>-0.8946835931870698</c:v>
                </c:pt>
                <c:pt idx="549">
                  <c:v>-0.22311350916533185</c:v>
                </c:pt>
                <c:pt idx="550">
                  <c:v>0.45012268636562847</c:v>
                </c:pt>
                <c:pt idx="551">
                  <c:v>1.1155825598314948</c:v>
                </c:pt>
                <c:pt idx="552">
                  <c:v>1.7643042018314961</c:v>
                </c:pt>
                <c:pt idx="553">
                  <c:v>2.3883819556632897</c:v>
                </c:pt>
                <c:pt idx="554">
                  <c:v>2.9813858168395111</c:v>
                </c:pt>
                <c:pt idx="555">
                  <c:v>3.5385826375011487</c:v>
                </c:pt>
                <c:pt idx="556">
                  <c:v>4.056961410506787</c:v>
                </c:pt>
                <c:pt idx="557">
                  <c:v>4.5350994889549598</c:v>
                </c:pt>
                <c:pt idx="558">
                  <c:v>4.9729242692238449</c:v>
                </c:pt>
                <c:pt idx="559">
                  <c:v>5.3714259738988419</c:v>
                </c:pt>
                <c:pt idx="560">
                  <c:v>5.7323670316705666</c:v>
                </c:pt>
                <c:pt idx="561">
                  <c:v>6.0580186981089232</c:v>
                </c:pt>
                <c:pt idx="562">
                  <c:v>6.3509411036433328</c:v>
                </c:pt>
                <c:pt idx="563">
                  <c:v>6.6138116237992524</c:v>
                </c:pt>
                <c:pt idx="564">
                  <c:v>6.8492990972541152</c:v>
                </c:pt>
                <c:pt idx="565">
                  <c:v>7.0599775063619683</c:v>
                </c:pt>
                <c:pt idx="566">
                  <c:v>7.2482713367376892</c:v>
                </c:pt>
                <c:pt idx="567">
                  <c:v>7.4164249897068704</c:v>
                </c:pt>
                <c:pt idx="568">
                  <c:v>7.566489578432571</c:v>
                </c:pt>
                <c:pt idx="569">
                  <c:v>7.7003216874513267</c:v>
                </c:pt>
                <c:pt idx="570">
                  <c:v>7.8195899196994132</c:v>
                </c:pt>
                <c:pt idx="571">
                  <c:v>7.9257861491135371</c:v>
                </c:pt>
                <c:pt idx="572">
                  <c:v>8.0202392890613794</c:v>
                </c:pt>
                <c:pt idx="573">
                  <c:v>8.1041300777298826</c:v>
                </c:pt>
                <c:pt idx="574">
                  <c:v>8.1785058960233652</c:v>
                </c:pt>
                <c:pt idx="575">
                  <c:v>8.2442950043890448</c:v>
                </c:pt>
                <c:pt idx="576">
                  <c:v>8.3023198446992144</c:v>
                </c:pt>
                <c:pt idx="577">
                  <c:v>8.3533092300246725</c:v>
                </c:pt>
                <c:pt idx="578">
                  <c:v>8.3979093615944134</c:v>
                </c:pt>
                <c:pt idx="579">
                  <c:v>8.4366936860190886</c:v>
                </c:pt>
                <c:pt idx="580">
                  <c:v>8.4701716500737909</c:v>
                </c:pt>
                <c:pt idx="581">
                  <c:v>8.4987964345314602</c:v>
                </c:pt>
                <c:pt idx="582">
                  <c:v>8.522971759511389</c:v>
                </c:pt>
                <c:pt idx="583">
                  <c:v>8.543057856315837</c:v>
                </c:pt>
                <c:pt idx="584">
                  <c:v>8.5593766980421169</c:v>
                </c:pt>
                <c:pt idx="585">
                  <c:v>8.5722165755863529</c:v>
                </c:pt>
                <c:pt idx="586">
                  <c:v>8.5818360984599877</c:v>
                </c:pt>
                <c:pt idx="587">
                  <c:v>8.5884676920630696</c:v>
                </c:pt>
                <c:pt idx="588">
                  <c:v>8.5923206552880114</c:v>
                </c:pt>
                <c:pt idx="589">
                  <c:v>8.5935838349123834</c:v>
                </c:pt>
                <c:pt idx="590">
                  <c:v>8.5924279663696357</c:v>
                </c:pt>
                <c:pt idx="591">
                  <c:v>8.5890077242504379</c:v>
                </c:pt>
                <c:pt idx="592">
                  <c:v>8.5834635203061502</c:v>
                </c:pt>
                <c:pt idx="593">
                  <c:v>8.5759230817835714</c:v>
                </c:pt>
                <c:pt idx="594">
                  <c:v>8.5665028385765876</c:v>
                </c:pt>
                <c:pt idx="595">
                  <c:v>8.5553091438848714</c:v>
                </c:pt>
                <c:pt idx="596">
                  <c:v>8.5424393497673865</c:v>
                </c:pt>
                <c:pt idx="597">
                  <c:v>8.5279827561137491</c:v>
                </c:pt>
                <c:pt idx="598">
                  <c:v>8.5120214490770092</c:v>
                </c:pt>
                <c:pt idx="599">
                  <c:v>8.494631042868896</c:v>
                </c:pt>
                <c:pt idx="600">
                  <c:v>8.4758813369686603</c:v>
                </c:pt>
                <c:pt idx="601">
                  <c:v>8.455836899200607</c:v>
                </c:pt>
                <c:pt idx="602">
                  <c:v>8.4345575837584921</c:v>
                </c:pt>
                <c:pt idx="603">
                  <c:v>8.4120989920670723</c:v>
                </c:pt>
                <c:pt idx="604">
                  <c:v>8.3885128833458555</c:v>
                </c:pt>
                <c:pt idx="605">
                  <c:v>8.3638475408548896</c:v>
                </c:pt>
                <c:pt idx="606">
                  <c:v>8.3381480990375358</c:v>
                </c:pt>
                <c:pt idx="607">
                  <c:v>8.3114568361137877</c:v>
                </c:pt>
                <c:pt idx="608">
                  <c:v>8.2838134361051612</c:v>
                </c:pt>
                <c:pt idx="609">
                  <c:v>8.2552552237762153</c:v>
                </c:pt>
                <c:pt idx="610">
                  <c:v>8.2258173755476314</c:v>
                </c:pt>
                <c:pt idx="611">
                  <c:v>8.1955331090621897</c:v>
                </c:pt>
                <c:pt idx="612">
                  <c:v>8.1644338537603627</c:v>
                </c:pt>
                <c:pt idx="613">
                  <c:v>8.1325494045396134</c:v>
                </c:pt>
                <c:pt idx="614">
                  <c:v>8.0999080603252711</c:v>
                </c:pt>
                <c:pt idx="615">
                  <c:v>8.0665367491659481</c:v>
                </c:pt>
                <c:pt idx="616">
                  <c:v>8.03246114127883</c:v>
                </c:pt>
                <c:pt idx="617">
                  <c:v>7.9977057513059453</c:v>
                </c:pt>
                <c:pt idx="618">
                  <c:v>7.9622940308987324</c:v>
                </c:pt>
                <c:pt idx="619">
                  <c:v>7.9262484526221186</c:v>
                </c:pt>
                <c:pt idx="620">
                  <c:v>7.8895905860586222</c:v>
                </c:pt>
                <c:pt idx="621">
                  <c:v>7.8523411668955312</c:v>
                </c:pt>
                <c:pt idx="622">
                  <c:v>7.8145201596926501</c:v>
                </c:pt>
                <c:pt idx="623">
                  <c:v>7.7761468149524289</c:v>
                </c:pt>
                <c:pt idx="624">
                  <c:v>7.7372397210476578</c:v>
                </c:pt>
                <c:pt idx="625">
                  <c:v>7.6978168515030116</c:v>
                </c:pt>
                <c:pt idx="626">
                  <c:v>7.6578956080745302</c:v>
                </c:pt>
                <c:pt idx="627">
                  <c:v>7.6174928600249938</c:v>
                </c:pt>
                <c:pt idx="628">
                  <c:v>7.5766249799522072</c:v>
                </c:pt>
                <c:pt idx="629">
                  <c:v>7.5353078764906805</c:v>
                </c:pt>
                <c:pt idx="630">
                  <c:v>7.4935570241750771</c:v>
                </c:pt>
                <c:pt idx="631">
                  <c:v>7.4513874907248452</c:v>
                </c:pt>
                <c:pt idx="632">
                  <c:v>7.4088139619837916</c:v>
                </c:pt>
                <c:pt idx="633">
                  <c:v>7.365850764725641</c:v>
                </c:pt>
                <c:pt idx="634">
                  <c:v>7.3225118875158941</c:v>
                </c:pt>
                <c:pt idx="635">
                  <c:v>7.2788109998023049</c:v>
                </c:pt>
                <c:pt idx="636">
                  <c:v>7.2347614693897171</c:v>
                </c:pt>
                <c:pt idx="637">
                  <c:v>7.1903763784404315</c:v>
                </c:pt>
                <c:pt idx="638">
                  <c:v>7.1456685381280911</c:v>
                </c:pt>
                <c:pt idx="639">
                  <c:v>7.1006505020612263</c:v>
                </c:pt>
                <c:pt idx="640">
                  <c:v>7.0553345785820483</c:v>
                </c:pt>
                <c:pt idx="641">
                  <c:v>7.0097328420363976</c:v>
                </c:pt>
                <c:pt idx="642">
                  <c:v>6.963857143102242</c:v>
                </c:pt>
                <c:pt idx="643">
                  <c:v>6.9177191182562652</c:v>
                </c:pt>
                <c:pt idx="644">
                  <c:v>6.8713301984511412</c:v>
                </c:pt>
                <c:pt idx="645">
                  <c:v>6.8247016170696977</c:v>
                </c:pt>
                <c:pt idx="646">
                  <c:v>6.7778444172164125</c:v>
                </c:pt>
                <c:pt idx="647">
                  <c:v>6.7307694584015785</c:v>
                </c:pt>
                <c:pt idx="648">
                  <c:v>6.6834874226686738</c:v>
                </c:pt>
                <c:pt idx="649">
                  <c:v>6.6360088202112468</c:v>
                </c:pt>
                <c:pt idx="650">
                  <c:v>6.5883439945217379</c:v>
                </c:pt>
                <c:pt idx="651">
                  <c:v>6.5405031271111245</c:v>
                </c:pt>
                <c:pt idx="652">
                  <c:v>6.4924962418350969</c:v>
                </c:pt>
                <c:pt idx="653">
                  <c:v>6.4443332088594785</c:v>
                </c:pt>
                <c:pt idx="654">
                  <c:v>6.3960237482950433</c:v>
                </c:pt>
                <c:pt idx="655">
                  <c:v>6.3475774335293655</c:v>
                </c:pt>
                <c:pt idx="656">
                  <c:v>6.2990036942811658</c:v>
                </c:pt>
                <c:pt idx="657">
                  <c:v>6.2503118194005642</c:v>
                </c:pt>
                <c:pt idx="658">
                  <c:v>6.2015109594368276</c:v>
                </c:pt>
                <c:pt idx="659">
                  <c:v>6.1526101289934525</c:v>
                </c:pt>
                <c:pt idx="660">
                  <c:v>6.1036182088889275</c:v>
                </c:pt>
                <c:pt idx="661">
                  <c:v>6.0545439481400347</c:v>
                </c:pt>
                <c:pt idx="662">
                  <c:v>6.0053959657832952</c:v>
                </c:pt>
                <c:pt idx="663">
                  <c:v>5.9561827525488908</c:v>
                </c:pt>
                <c:pt idx="664">
                  <c:v>5.90691267240038</c:v>
                </c:pt>
                <c:pt idx="665">
                  <c:v>5.8575939639524366</c:v>
                </c:pt>
                <c:pt idx="666">
                  <c:v>5.8082347417778921</c:v>
                </c:pt>
                <c:pt idx="667">
                  <c:v>5.7588429976146127</c:v>
                </c:pt>
                <c:pt idx="668">
                  <c:v>5.7094266014817601</c:v>
                </c:pt>
                <c:pt idx="669">
                  <c:v>5.659993302714466</c:v>
                </c:pt>
                <c:pt idx="670">
                  <c:v>5.6105507309250662</c:v>
                </c:pt>
                <c:pt idx="671">
                  <c:v>5.5611063968985768</c:v>
                </c:pt>
                <c:pt idx="672">
                  <c:v>5.5116676934294055</c:v>
                </c:pt>
                <c:pt idx="673">
                  <c:v>5.462241896105823</c:v>
                </c:pt>
                <c:pt idx="674">
                  <c:v>5.4128361640481648</c:v>
                </c:pt>
                <c:pt idx="675">
                  <c:v>5.3634575406063361</c:v>
                </c:pt>
                <c:pt idx="676">
                  <c:v>5.3141129540217031</c:v>
                </c:pt>
                <c:pt idx="677">
                  <c:v>5.2648092180581232</c:v>
                </c:pt>
                <c:pt idx="678">
                  <c:v>5.2155530326064063</c:v>
                </c:pt>
                <c:pt idx="679">
                  <c:v>5.166350984266276</c:v>
                </c:pt>
                <c:pt idx="680">
                  <c:v>5.1172095469094758</c:v>
                </c:pt>
                <c:pt idx="681">
                  <c:v>5.0681350822274212</c:v>
                </c:pt>
                <c:pt idx="682">
                  <c:v>5.0191338402665542</c:v>
                </c:pt>
                <c:pt idx="683">
                  <c:v>4.9702119599541765</c:v>
                </c:pt>
                <c:pt idx="684">
                  <c:v>4.9213754696174998</c:v>
                </c:pt>
                <c:pt idx="685">
                  <c:v>4.8726302874982048</c:v>
                </c:pt>
                <c:pt idx="686">
                  <c:v>4.8239822222647897</c:v>
                </c:pt>
                <c:pt idx="687">
                  <c:v>4.7754369735246529</c:v>
                </c:pt>
                <c:pt idx="688">
                  <c:v>4.727000132337758</c:v>
                </c:pt>
                <c:pt idx="689">
                  <c:v>4.6786771817335522</c:v>
                </c:pt>
                <c:pt idx="690">
                  <c:v>4.6304734972325834</c:v>
                </c:pt>
                <c:pt idx="691">
                  <c:v>4.5823943473742155</c:v>
                </c:pt>
                <c:pt idx="692">
                  <c:v>4.5344448942516555</c:v>
                </c:pt>
                <c:pt idx="693">
                  <c:v>4.4866301940553539</c:v>
                </c:pt>
                <c:pt idx="694">
                  <c:v>4.4389551976257513</c:v>
                </c:pt>
                <c:pt idx="695">
                  <c:v>4.3914247510162623</c:v>
                </c:pt>
                <c:pt idx="696">
                  <c:v>4.344043596067217</c:v>
                </c:pt>
                <c:pt idx="697">
                  <c:v>4.2968163709914284</c:v>
                </c:pt>
                <c:pt idx="698">
                  <c:v>4.2497476109719692</c:v>
                </c:pt>
                <c:pt idx="699">
                  <c:v>4.2028417487726122</c:v>
                </c:pt>
                <c:pt idx="700">
                  <c:v>4.1561031153613586</c:v>
                </c:pt>
                <c:pt idx="701">
                  <c:v>4.1095359405474223</c:v>
                </c:pt>
                <c:pt idx="702">
                  <c:v>4.0631443536318388</c:v>
                </c:pt>
                <c:pt idx="703">
                  <c:v>4.016932384071989</c:v>
                </c:pt>
                <c:pt idx="704">
                  <c:v>3.9709039621601683</c:v>
                </c:pt>
                <c:pt idx="705">
                  <c:v>3.9250629197162139</c:v>
                </c:pt>
                <c:pt idx="706">
                  <c:v>3.8794129907943393</c:v>
                </c:pt>
                <c:pt idx="707">
                  <c:v>3.8339578124040639</c:v>
                </c:pt>
                <c:pt idx="708">
                  <c:v>3.7887009252452497</c:v>
                </c:pt>
                <c:pt idx="709">
                  <c:v>3.7436457744570921</c:v>
                </c:pt>
                <c:pt idx="710">
                  <c:v>3.6987957103809848</c:v>
                </c:pt>
                <c:pt idx="711">
                  <c:v>3.6541539893370594</c:v>
                </c:pt>
                <c:pt idx="712">
                  <c:v>3.6097237744142046</c:v>
                </c:pt>
                <c:pt idx="713">
                  <c:v>3.5655081362733219</c:v>
                </c:pt>
                <c:pt idx="714">
                  <c:v>3.5215100539635715</c:v>
                </c:pt>
                <c:pt idx="715">
                  <c:v>3.4777324157513583</c:v>
                </c:pt>
                <c:pt idx="716">
                  <c:v>3.4341780199616565</c:v>
                </c:pt>
                <c:pt idx="717">
                  <c:v>3.3908495758314743</c:v>
                </c:pt>
                <c:pt idx="718">
                  <c:v>3.3477497043749995</c:v>
                </c:pt>
                <c:pt idx="719">
                  <c:v>3.3048809392601344</c:v>
                </c:pt>
                <c:pt idx="720">
                  <c:v>3.2622457276960066</c:v>
                </c:pt>
                <c:pt idx="721">
                  <c:v>3.2198464313310922</c:v>
                </c:pt>
                <c:pt idx="722">
                  <c:v>3.1776853271615213</c:v>
                </c:pt>
                <c:pt idx="723">
                  <c:v>3.1357646084491595</c:v>
                </c:pt>
                <c:pt idx="724">
                  <c:v>3.094086385649061</c:v>
                </c:pt>
                <c:pt idx="725">
                  <c:v>3.0526526873458248</c:v>
                </c:pt>
                <c:pt idx="726">
                  <c:v>3.0114654611984708</c:v>
                </c:pt>
                <c:pt idx="727">
                  <c:v>2.9705265748932979</c:v>
                </c:pt>
                <c:pt idx="728">
                  <c:v>2.9298378171044099</c:v>
                </c:pt>
                <c:pt idx="729">
                  <c:v>2.8894008984613171</c:v>
                </c:pt>
                <c:pt idx="730">
                  <c:v>2.8492174525232601</c:v>
                </c:pt>
                <c:pt idx="731">
                  <c:v>2.8092890367597514</c:v>
                </c:pt>
                <c:pt idx="732">
                  <c:v>2.7696171335368778</c:v>
                </c:pt>
                <c:pt idx="733">
                  <c:v>2.7302031511089329</c:v>
                </c:pt>
                <c:pt idx="734">
                  <c:v>2.6910484246148973</c:v>
                </c:pt>
                <c:pt idx="735">
                  <c:v>2.6521542170793211</c:v>
                </c:pt>
                <c:pt idx="736">
                  <c:v>2.6135217204171264</c:v>
                </c:pt>
                <c:pt idx="737">
                  <c:v>2.5751520564419579</c:v>
                </c:pt>
                <c:pt idx="738">
                  <c:v>2.5370462778775318</c:v>
                </c:pt>
                <c:pt idx="739">
                  <c:v>2.4992053693715981</c:v>
                </c:pt>
                <c:pt idx="740">
                  <c:v>2.4616302485121091</c:v>
                </c:pt>
                <c:pt idx="741">
                  <c:v>2.4243217668450292</c:v>
                </c:pt>
                <c:pt idx="742">
                  <c:v>2.3872807108935223</c:v>
                </c:pt>
                <c:pt idx="743">
                  <c:v>2.3505078031779858</c:v>
                </c:pt>
                <c:pt idx="744">
                  <c:v>2.3140037032365344</c:v>
                </c:pt>
                <c:pt idx="745">
                  <c:v>2.27776900864552</c:v>
                </c:pt>
                <c:pt idx="746">
                  <c:v>2.2418042560397122</c:v>
                </c:pt>
                <c:pt idx="747">
                  <c:v>2.2061099221317102</c:v>
                </c:pt>
                <c:pt idx="748">
                  <c:v>2.1706864247301931</c:v>
                </c:pt>
                <c:pt idx="749">
                  <c:v>2.1355341237566474</c:v>
                </c:pt>
                <c:pt idx="750">
                  <c:v>2.1006533222602108</c:v>
                </c:pt>
                <c:pt idx="751">
                  <c:v>2.0660442674301427</c:v>
                </c:pt>
                <c:pt idx="752">
                  <c:v>2.0317071516057972</c:v>
                </c:pt>
                <c:pt idx="753">
                  <c:v>1.9976421132834883</c:v>
                </c:pt>
                <c:pt idx="754">
                  <c:v>1.9638492381200825</c:v>
                </c:pt>
                <c:pt idx="755">
                  <c:v>1.9303285599329048</c:v>
                </c:pt>
                <c:pt idx="756">
                  <c:v>1.8970800616956698</c:v>
                </c:pt>
                <c:pt idx="757">
                  <c:v>1.8641036765300791</c:v>
                </c:pt>
                <c:pt idx="758">
                  <c:v>1.8313992886928085</c:v>
                </c:pt>
                <c:pt idx="759">
                  <c:v>1.7989667345575855</c:v>
                </c:pt>
                <c:pt idx="760">
                  <c:v>1.766805803592062</c:v>
                </c:pt>
                <c:pt idx="761">
                  <c:v>1.7349162393291735</c:v>
                </c:pt>
                <c:pt idx="762">
                  <c:v>1.7032977403327525</c:v>
                </c:pt>
                <c:pt idx="763">
                  <c:v>1.6719499611571287</c:v>
                </c:pt>
                <c:pt idx="764">
                  <c:v>1.6408725133004047</c:v>
                </c:pt>
                <c:pt idx="765">
                  <c:v>1.6100649661512527</c:v>
                </c:pt>
                <c:pt idx="766">
                  <c:v>1.5795268479289266</c:v>
                </c:pt>
                <c:pt idx="767">
                  <c:v>1.54925764661626</c:v>
                </c:pt>
                <c:pt idx="768">
                  <c:v>1.5192568108855049</c:v>
                </c:pt>
                <c:pt idx="769">
                  <c:v>1.4895237510166943</c:v>
                </c:pt>
                <c:pt idx="770">
                  <c:v>1.4600578398084174</c:v>
                </c:pt>
                <c:pt idx="771">
                  <c:v>1.4308584134807685</c:v>
                </c:pt>
                <c:pt idx="772">
                  <c:v>1.4019247725702968</c:v>
                </c:pt>
                <c:pt idx="773">
                  <c:v>1.3732561828167693</c:v>
                </c:pt>
                <c:pt idx="774">
                  <c:v>1.3448518760416004</c:v>
                </c:pt>
                <c:pt idx="775">
                  <c:v>1.3167110510177835</c:v>
                </c:pt>
                <c:pt idx="776">
                  <c:v>1.3166832182641208</c:v>
                </c:pt>
                <c:pt idx="777">
                  <c:v>1.3166553857701899</c:v>
                </c:pt>
                <c:pt idx="778">
                  <c:v>1.3166275535359908</c:v>
                </c:pt>
                <c:pt idx="779">
                  <c:v>1.3165997215615128</c:v>
                </c:pt>
                <c:pt idx="780">
                  <c:v>1.3165718898467613</c:v>
                </c:pt>
                <c:pt idx="781">
                  <c:v>1.3165440583917363</c:v>
                </c:pt>
                <c:pt idx="782">
                  <c:v>1.3165162271964324</c:v>
                </c:pt>
                <c:pt idx="783">
                  <c:v>1.3164883962608602</c:v>
                </c:pt>
                <c:pt idx="784">
                  <c:v>1.3164605655850057</c:v>
                </c:pt>
                <c:pt idx="785">
                  <c:v>1.316432735168874</c:v>
                </c:pt>
                <c:pt idx="786">
                  <c:v>1.3164049050124618</c:v>
                </c:pt>
                <c:pt idx="787">
                  <c:v>1.3163770751157777</c:v>
                </c:pt>
                <c:pt idx="788">
                  <c:v>1.3163492454788095</c:v>
                </c:pt>
                <c:pt idx="789">
                  <c:v>1.3163214161015588</c:v>
                </c:pt>
                <c:pt idx="790">
                  <c:v>1.3162935869840187</c:v>
                </c:pt>
                <c:pt idx="791">
                  <c:v>1.3162657581262067</c:v>
                </c:pt>
                <c:pt idx="792">
                  <c:v>1.3162379295281106</c:v>
                </c:pt>
                <c:pt idx="793">
                  <c:v>1.3162101011897231</c:v>
                </c:pt>
                <c:pt idx="794">
                  <c:v>1.316182273111048</c:v>
                </c:pt>
                <c:pt idx="795">
                  <c:v>1.3161544452920921</c:v>
                </c:pt>
                <c:pt idx="796">
                  <c:v>1.3161266177328539</c:v>
                </c:pt>
                <c:pt idx="797">
                  <c:v>1.3160987904333208</c:v>
                </c:pt>
                <c:pt idx="798">
                  <c:v>1.3160709633935017</c:v>
                </c:pt>
                <c:pt idx="799">
                  <c:v>1.3160431366133931</c:v>
                </c:pt>
                <c:pt idx="800">
                  <c:v>1.316015310092995</c:v>
                </c:pt>
                <c:pt idx="801">
                  <c:v>1.3159874838323002</c:v>
                </c:pt>
                <c:pt idx="802">
                  <c:v>1.3159596578313177</c:v>
                </c:pt>
                <c:pt idx="803">
                  <c:v>1.3159318320900422</c:v>
                </c:pt>
                <c:pt idx="804">
                  <c:v>1.3159040066084735</c:v>
                </c:pt>
                <c:pt idx="805">
                  <c:v>1.3158761813866047</c:v>
                </c:pt>
                <c:pt idx="806">
                  <c:v>1.315848356424441</c:v>
                </c:pt>
                <c:pt idx="807">
                  <c:v>1.315820531721986</c:v>
                </c:pt>
                <c:pt idx="808">
                  <c:v>1.3157927072792273</c:v>
                </c:pt>
                <c:pt idx="809">
                  <c:v>1.3157648830961719</c:v>
                </c:pt>
                <c:pt idx="810">
                  <c:v>1.315737059172827</c:v>
                </c:pt>
                <c:pt idx="811">
                  <c:v>1.3157092355091713</c:v>
                </c:pt>
                <c:pt idx="812">
                  <c:v>1.3156814121052154</c:v>
                </c:pt>
                <c:pt idx="813">
                  <c:v>1.3156535889609628</c:v>
                </c:pt>
                <c:pt idx="814">
                  <c:v>1.3156257660764048</c:v>
                </c:pt>
                <c:pt idx="815">
                  <c:v>1.3155979434515501</c:v>
                </c:pt>
                <c:pt idx="816">
                  <c:v>1.3155701210863828</c:v>
                </c:pt>
                <c:pt idx="817">
                  <c:v>1.3155422989809118</c:v>
                </c:pt>
                <c:pt idx="818">
                  <c:v>1.3155144771351388</c:v>
                </c:pt>
                <c:pt idx="819">
                  <c:v>1.3154866555490621</c:v>
                </c:pt>
                <c:pt idx="820">
                  <c:v>1.3154588342226745</c:v>
                </c:pt>
                <c:pt idx="821">
                  <c:v>1.3154310131559743</c:v>
                </c:pt>
                <c:pt idx="822">
                  <c:v>1.3154031923489704</c:v>
                </c:pt>
                <c:pt idx="823">
                  <c:v>1.3153753718016592</c:v>
                </c:pt>
                <c:pt idx="824">
                  <c:v>1.3153475515140283</c:v>
                </c:pt>
                <c:pt idx="825">
                  <c:v>1.3153197314860918</c:v>
                </c:pt>
                <c:pt idx="826">
                  <c:v>1.315291911717841</c:v>
                </c:pt>
                <c:pt idx="827">
                  <c:v>1.3152640922092722</c:v>
                </c:pt>
                <c:pt idx="828">
                  <c:v>1.3152362729603979</c:v>
                </c:pt>
                <c:pt idx="829">
                  <c:v>1.3152084539712074</c:v>
                </c:pt>
                <c:pt idx="830">
                  <c:v>1.3151806352417008</c:v>
                </c:pt>
                <c:pt idx="831">
                  <c:v>1.3151528167718727</c:v>
                </c:pt>
                <c:pt idx="832">
                  <c:v>1.3151249985617302</c:v>
                </c:pt>
                <c:pt idx="833">
                  <c:v>1.3150971806112643</c:v>
                </c:pt>
                <c:pt idx="834">
                  <c:v>1.3150693629204859</c:v>
                </c:pt>
                <c:pt idx="835">
                  <c:v>1.315041545489386</c:v>
                </c:pt>
                <c:pt idx="836">
                  <c:v>1.315013728317961</c:v>
                </c:pt>
                <c:pt idx="837">
                  <c:v>1.3149859114062181</c:v>
                </c:pt>
                <c:pt idx="838">
                  <c:v>1.3149580947541502</c:v>
                </c:pt>
                <c:pt idx="839">
                  <c:v>1.3149302783617607</c:v>
                </c:pt>
                <c:pt idx="840">
                  <c:v>1.3149024622290426</c:v>
                </c:pt>
                <c:pt idx="841">
                  <c:v>1.3148746463560048</c:v>
                </c:pt>
                <c:pt idx="842">
                  <c:v>1.314846830742642</c:v>
                </c:pt>
                <c:pt idx="843">
                  <c:v>1.3148190153889452</c:v>
                </c:pt>
                <c:pt idx="844">
                  <c:v>1.3147912002949269</c:v>
                </c:pt>
                <c:pt idx="845">
                  <c:v>1.3147633854605765</c:v>
                </c:pt>
                <c:pt idx="846">
                  <c:v>1.3147355708858974</c:v>
                </c:pt>
                <c:pt idx="847">
                  <c:v>1.3147077565708862</c:v>
                </c:pt>
                <c:pt idx="848">
                  <c:v>1.31467994251555</c:v>
                </c:pt>
                <c:pt idx="849">
                  <c:v>1.314652128719878</c:v>
                </c:pt>
                <c:pt idx="850">
                  <c:v>1.3146243151838704</c:v>
                </c:pt>
                <c:pt idx="851">
                  <c:v>1.3145965019075323</c:v>
                </c:pt>
                <c:pt idx="852">
                  <c:v>1.3145686888908639</c:v>
                </c:pt>
                <c:pt idx="853">
                  <c:v>1.3145408761338526</c:v>
                </c:pt>
                <c:pt idx="854">
                  <c:v>1.3145130636365074</c:v>
                </c:pt>
                <c:pt idx="855">
                  <c:v>1.3144852513988265</c:v>
                </c:pt>
                <c:pt idx="856">
                  <c:v>1.3144574394208099</c:v>
                </c:pt>
                <c:pt idx="857">
                  <c:v>1.3144296277024505</c:v>
                </c:pt>
                <c:pt idx="858">
                  <c:v>1.3144018162437554</c:v>
                </c:pt>
                <c:pt idx="859">
                  <c:v>1.3143740050447139</c:v>
                </c:pt>
                <c:pt idx="860">
                  <c:v>1.3143461941053314</c:v>
                </c:pt>
                <c:pt idx="861">
                  <c:v>1.3143183834256167</c:v>
                </c:pt>
                <c:pt idx="862">
                  <c:v>1.3142905730055521</c:v>
                </c:pt>
                <c:pt idx="863">
                  <c:v>1.3142627628451411</c:v>
                </c:pt>
                <c:pt idx="864">
                  <c:v>1.3142349529443909</c:v>
                </c:pt>
                <c:pt idx="865">
                  <c:v>1.3142071433032942</c:v>
                </c:pt>
                <c:pt idx="866">
                  <c:v>1.3141793339218459</c:v>
                </c:pt>
                <c:pt idx="867">
                  <c:v>1.3141515248000601</c:v>
                </c:pt>
                <c:pt idx="868">
                  <c:v>1.3141237159379191</c:v>
                </c:pt>
                <c:pt idx="869">
                  <c:v>1.3140959073354317</c:v>
                </c:pt>
                <c:pt idx="870">
                  <c:v>1.3140680989925873</c:v>
                </c:pt>
                <c:pt idx="871">
                  <c:v>1.3140402909093964</c:v>
                </c:pt>
                <c:pt idx="872">
                  <c:v>1.314012483085861</c:v>
                </c:pt>
                <c:pt idx="873">
                  <c:v>1.3139846755219686</c:v>
                </c:pt>
                <c:pt idx="874">
                  <c:v>1.3139568682177192</c:v>
                </c:pt>
                <c:pt idx="875">
                  <c:v>1.3139290611731216</c:v>
                </c:pt>
                <c:pt idx="876">
                  <c:v>1.3139012543881634</c:v>
                </c:pt>
                <c:pt idx="877">
                  <c:v>1.3138734478628553</c:v>
                </c:pt>
                <c:pt idx="878">
                  <c:v>1.313845641597192</c:v>
                </c:pt>
                <c:pt idx="879">
                  <c:v>1.3138178355911698</c:v>
                </c:pt>
                <c:pt idx="880">
                  <c:v>1.3137900298447853</c:v>
                </c:pt>
                <c:pt idx="881">
                  <c:v>1.3137622243580402</c:v>
                </c:pt>
                <c:pt idx="882">
                  <c:v>1.3137344191309381</c:v>
                </c:pt>
                <c:pt idx="883">
                  <c:v>1.313706614163479</c:v>
                </c:pt>
                <c:pt idx="884">
                  <c:v>1.3136788094556575</c:v>
                </c:pt>
                <c:pt idx="885">
                  <c:v>1.3136510050074666</c:v>
                </c:pt>
                <c:pt idx="886">
                  <c:v>1.3136232008189204</c:v>
                </c:pt>
                <c:pt idx="887">
                  <c:v>1.3135953968900083</c:v>
                </c:pt>
                <c:pt idx="888">
                  <c:v>1.313567593220732</c:v>
                </c:pt>
                <c:pt idx="889">
                  <c:v>1.3135397898110863</c:v>
                </c:pt>
                <c:pt idx="890">
                  <c:v>1.31351198666108</c:v>
                </c:pt>
                <c:pt idx="891">
                  <c:v>1.313484183770699</c:v>
                </c:pt>
                <c:pt idx="892">
                  <c:v>1.313456381139952</c:v>
                </c:pt>
                <c:pt idx="893">
                  <c:v>1.3134285787688373</c:v>
                </c:pt>
                <c:pt idx="894">
                  <c:v>1.3134007766573514</c:v>
                </c:pt>
                <c:pt idx="895">
                  <c:v>1.3133729748054925</c:v>
                </c:pt>
                <c:pt idx="896">
                  <c:v>1.3133451732132677</c:v>
                </c:pt>
                <c:pt idx="897">
                  <c:v>1.3133173718806646</c:v>
                </c:pt>
                <c:pt idx="898">
                  <c:v>1.3132895708076884</c:v>
                </c:pt>
                <c:pt idx="899">
                  <c:v>1.3132617699943356</c:v>
                </c:pt>
                <c:pt idx="900">
                  <c:v>1.3132339694406099</c:v>
                </c:pt>
                <c:pt idx="901">
                  <c:v>1.3132061691465129</c:v>
                </c:pt>
                <c:pt idx="902">
                  <c:v>1.3131783691120322</c:v>
                </c:pt>
                <c:pt idx="903">
                  <c:v>1.3131505693371803</c:v>
                </c:pt>
                <c:pt idx="904">
                  <c:v>1.3131227698219501</c:v>
                </c:pt>
                <c:pt idx="905">
                  <c:v>1.3130949705663344</c:v>
                </c:pt>
                <c:pt idx="906">
                  <c:v>1.3130671715703404</c:v>
                </c:pt>
                <c:pt idx="907">
                  <c:v>1.3130393728339662</c:v>
                </c:pt>
                <c:pt idx="908">
                  <c:v>1.3130115743572102</c:v>
                </c:pt>
                <c:pt idx="909">
                  <c:v>1.3129837761400669</c:v>
                </c:pt>
                <c:pt idx="910">
                  <c:v>1.3129559781825488</c:v>
                </c:pt>
                <c:pt idx="911">
                  <c:v>1.3129281804846382</c:v>
                </c:pt>
                <c:pt idx="912">
                  <c:v>1.3129003830463493</c:v>
                </c:pt>
                <c:pt idx="913">
                  <c:v>1.3128725858676695</c:v>
                </c:pt>
                <c:pt idx="914">
                  <c:v>1.312844788948599</c:v>
                </c:pt>
                <c:pt idx="915">
                  <c:v>1.3128169922891484</c:v>
                </c:pt>
                <c:pt idx="916">
                  <c:v>1.3127891958893052</c:v>
                </c:pt>
                <c:pt idx="917">
                  <c:v>1.3127613997490748</c:v>
                </c:pt>
                <c:pt idx="918">
                  <c:v>1.3127336038684536</c:v>
                </c:pt>
                <c:pt idx="919">
                  <c:v>1.3127058082474399</c:v>
                </c:pt>
                <c:pt idx="920">
                  <c:v>1.3126780128860354</c:v>
                </c:pt>
                <c:pt idx="921">
                  <c:v>1.3126502177842365</c:v>
                </c:pt>
                <c:pt idx="922">
                  <c:v>1.3126224229420416</c:v>
                </c:pt>
                <c:pt idx="923">
                  <c:v>1.3125946283594594</c:v>
                </c:pt>
                <c:pt idx="924">
                  <c:v>1.312566834036474</c:v>
                </c:pt>
                <c:pt idx="925">
                  <c:v>1.3125390399730943</c:v>
                </c:pt>
                <c:pt idx="926">
                  <c:v>1.3125112461693202</c:v>
                </c:pt>
                <c:pt idx="927">
                  <c:v>1.3124834526251483</c:v>
                </c:pt>
                <c:pt idx="928">
                  <c:v>1.3124556593405714</c:v>
                </c:pt>
                <c:pt idx="929">
                  <c:v>1.3124278663156002</c:v>
                </c:pt>
                <c:pt idx="930">
                  <c:v>1.3124000735502257</c:v>
                </c:pt>
                <c:pt idx="931">
                  <c:v>1.312372281044448</c:v>
                </c:pt>
                <c:pt idx="932">
                  <c:v>1.312344488798276</c:v>
                </c:pt>
                <c:pt idx="933">
                  <c:v>1.3123166968116919</c:v>
                </c:pt>
                <c:pt idx="934">
                  <c:v>1.31228890508471</c:v>
                </c:pt>
                <c:pt idx="935">
                  <c:v>1.3122611136173177</c:v>
                </c:pt>
                <c:pt idx="936">
                  <c:v>1.3122333224095257</c:v>
                </c:pt>
                <c:pt idx="937">
                  <c:v>1.3122055314613235</c:v>
                </c:pt>
                <c:pt idx="938">
                  <c:v>1.3121777407727198</c:v>
                </c:pt>
                <c:pt idx="939">
                  <c:v>1.312149950343704</c:v>
                </c:pt>
                <c:pt idx="940">
                  <c:v>1.3121221601742761</c:v>
                </c:pt>
                <c:pt idx="941">
                  <c:v>1.3120943702644414</c:v>
                </c:pt>
                <c:pt idx="942">
                  <c:v>1.3120665806141982</c:v>
                </c:pt>
                <c:pt idx="943">
                  <c:v>1.3120387912235412</c:v>
                </c:pt>
                <c:pt idx="944">
                  <c:v>1.3120110020924738</c:v>
                </c:pt>
                <c:pt idx="945">
                  <c:v>1.3119832132209908</c:v>
                </c:pt>
                <c:pt idx="946">
                  <c:v>1.3119554246090939</c:v>
                </c:pt>
                <c:pt idx="947">
                  <c:v>1.311927636256776</c:v>
                </c:pt>
                <c:pt idx="948">
                  <c:v>1.311899848164046</c:v>
                </c:pt>
                <c:pt idx="949">
                  <c:v>1.3118720603309004</c:v>
                </c:pt>
                <c:pt idx="950">
                  <c:v>1.3118442727573392</c:v>
                </c:pt>
                <c:pt idx="951">
                  <c:v>1.3118164854433534</c:v>
                </c:pt>
                <c:pt idx="952">
                  <c:v>1.3117886983889573</c:v>
                </c:pt>
                <c:pt idx="953">
                  <c:v>1.3117609115941331</c:v>
                </c:pt>
                <c:pt idx="954">
                  <c:v>1.3117331250588933</c:v>
                </c:pt>
                <c:pt idx="955">
                  <c:v>1.3117053387832343</c:v>
                </c:pt>
                <c:pt idx="956">
                  <c:v>1.31167755276714</c:v>
                </c:pt>
                <c:pt idx="957">
                  <c:v>1.3116497670106373</c:v>
                </c:pt>
                <c:pt idx="958">
                  <c:v>1.3116219815136994</c:v>
                </c:pt>
                <c:pt idx="959">
                  <c:v>1.3115941962763404</c:v>
                </c:pt>
                <c:pt idx="960">
                  <c:v>1.3115664112985517</c:v>
                </c:pt>
                <c:pt idx="961">
                  <c:v>1.3115386265803455</c:v>
                </c:pt>
                <c:pt idx="962">
                  <c:v>1.3115108421217059</c:v>
                </c:pt>
                <c:pt idx="963">
                  <c:v>1.3114830579226329</c:v>
                </c:pt>
                <c:pt idx="964">
                  <c:v>1.3114552739831353</c:v>
                </c:pt>
                <c:pt idx="965">
                  <c:v>1.3114274903032044</c:v>
                </c:pt>
                <c:pt idx="966">
                  <c:v>1.3113997068828489</c:v>
                </c:pt>
                <c:pt idx="967">
                  <c:v>1.3113719237220582</c:v>
                </c:pt>
                <c:pt idx="968">
                  <c:v>1.3113441408208324</c:v>
                </c:pt>
                <c:pt idx="969">
                  <c:v>1.3113163581791731</c:v>
                </c:pt>
                <c:pt idx="970">
                  <c:v>1.3112885757970805</c:v>
                </c:pt>
                <c:pt idx="971">
                  <c:v>1.3112607936745491</c:v>
                </c:pt>
                <c:pt idx="972">
                  <c:v>1.3112330118115896</c:v>
                </c:pt>
                <c:pt idx="973">
                  <c:v>1.3112052302081842</c:v>
                </c:pt>
                <c:pt idx="974">
                  <c:v>1.311177448864342</c:v>
                </c:pt>
                <c:pt idx="975">
                  <c:v>1.3111496677800663</c:v>
                </c:pt>
                <c:pt idx="976">
                  <c:v>1.3111218869553465</c:v>
                </c:pt>
                <c:pt idx="977">
                  <c:v>1.311094106390188</c:v>
                </c:pt>
                <c:pt idx="978">
                  <c:v>1.3110663260845907</c:v>
                </c:pt>
                <c:pt idx="979">
                  <c:v>1.3110385460385547</c:v>
                </c:pt>
                <c:pt idx="980">
                  <c:v>1.3110107662520605</c:v>
                </c:pt>
                <c:pt idx="981">
                  <c:v>1.3109829867251364</c:v>
                </c:pt>
                <c:pt idx="982">
                  <c:v>1.3109552074577664</c:v>
                </c:pt>
                <c:pt idx="983">
                  <c:v>1.310927428449947</c:v>
                </c:pt>
                <c:pt idx="984">
                  <c:v>1.3108996497016765</c:v>
                </c:pt>
                <c:pt idx="985">
                  <c:v>1.3108718712129619</c:v>
                </c:pt>
                <c:pt idx="986">
                  <c:v>1.3108440929838014</c:v>
                </c:pt>
                <c:pt idx="987">
                  <c:v>1.3108163150141916</c:v>
                </c:pt>
                <c:pt idx="988">
                  <c:v>1.3107885373041253</c:v>
                </c:pt>
                <c:pt idx="989">
                  <c:v>1.3107607598536202</c:v>
                </c:pt>
                <c:pt idx="990">
                  <c:v>1.3107329826626533</c:v>
                </c:pt>
                <c:pt idx="991">
                  <c:v>1.3107052057312387</c:v>
                </c:pt>
                <c:pt idx="992">
                  <c:v>1.3106774290593766</c:v>
                </c:pt>
                <c:pt idx="993">
                  <c:v>1.310649652647049</c:v>
                </c:pt>
                <c:pt idx="994">
                  <c:v>1.3106218764942721</c:v>
                </c:pt>
                <c:pt idx="995">
                  <c:v>1.3105941006010386</c:v>
                </c:pt>
                <c:pt idx="996">
                  <c:v>1.3105663249673469</c:v>
                </c:pt>
                <c:pt idx="997">
                  <c:v>1.3105385495932005</c:v>
                </c:pt>
                <c:pt idx="998">
                  <c:v>1.3105107744785958</c:v>
                </c:pt>
                <c:pt idx="999">
                  <c:v>1.3104829996235274</c:v>
                </c:pt>
                <c:pt idx="1000">
                  <c:v>1.3104552250280079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C-DF48-ADA1-B093CE44BC66}"/>
            </c:ext>
          </c:extLst>
        </c:ser>
        <c:ser>
          <c:idx val="1"/>
          <c:order val="1"/>
          <c:tx>
            <c:strRef>
              <c:f>Courbes!$B$138</c:f>
              <c:strCache>
                <c:ptCount val="1"/>
                <c:pt idx="0">
                  <c:v>Charge vue par un capteur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Calculs!$AH$4:$AH$1004</c:f>
              <c:numCache>
                <c:formatCode>0.00</c:formatCode>
                <c:ptCount val="1001"/>
                <c:pt idx="0">
                  <c:v>0</c:v>
                </c:pt>
                <c:pt idx="1">
                  <c:v>12.429446112677235</c:v>
                </c:pt>
                <c:pt idx="2">
                  <c:v>37.295317234093829</c:v>
                </c:pt>
                <c:pt idx="3">
                  <c:v>62.178222535056683</c:v>
                </c:pt>
                <c:pt idx="4">
                  <c:v>87.087335792351936</c:v>
                </c:pt>
                <c:pt idx="5">
                  <c:v>112.03171575620219</c:v>
                </c:pt>
                <c:pt idx="6">
                  <c:v>124.40856402187434</c:v>
                </c:pt>
                <c:pt idx="7">
                  <c:v>124.18853276773119</c:v>
                </c:pt>
                <c:pt idx="8">
                  <c:v>123.96700260228261</c:v>
                </c:pt>
                <c:pt idx="9">
                  <c:v>123.74397784601841</c:v>
                </c:pt>
                <c:pt idx="10">
                  <c:v>123.51946289317286</c:v>
                </c:pt>
                <c:pt idx="11">
                  <c:v>123.29346221132599</c:v>
                </c:pt>
                <c:pt idx="12">
                  <c:v>123.06598034099638</c:v>
                </c:pt>
                <c:pt idx="13">
                  <c:v>122.83702189522543</c:v>
                </c:pt>
                <c:pt idx="14">
                  <c:v>122.60659155915353</c:v>
                </c:pt>
                <c:pt idx="15">
                  <c:v>122.37469408958762</c:v>
                </c:pt>
                <c:pt idx="16">
                  <c:v>122.14133431456111</c:v>
                </c:pt>
                <c:pt idx="17">
                  <c:v>121.90651713288521</c:v>
                </c:pt>
                <c:pt idx="18">
                  <c:v>121.67024751369259</c:v>
                </c:pt>
                <c:pt idx="19">
                  <c:v>121.43253049597288</c:v>
                </c:pt>
                <c:pt idx="20">
                  <c:v>121.19337118810044</c:v>
                </c:pt>
                <c:pt idx="21">
                  <c:v>120.95277476735434</c:v>
                </c:pt>
                <c:pt idx="22">
                  <c:v>120.7107464794306</c:v>
                </c:pt>
                <c:pt idx="23">
                  <c:v>120.46729163794687</c:v>
                </c:pt>
                <c:pt idx="24">
                  <c:v>120.22241562393957</c:v>
                </c:pt>
                <c:pt idx="25">
                  <c:v>119.97612388535354</c:v>
                </c:pt>
                <c:pt idx="26">
                  <c:v>119.72842193652446</c:v>
                </c:pt>
                <c:pt idx="27">
                  <c:v>119.47931535765393</c:v>
                </c:pt>
                <c:pt idx="28">
                  <c:v>119.22880979427742</c:v>
                </c:pt>
                <c:pt idx="29">
                  <c:v>118.97691095672512</c:v>
                </c:pt>
                <c:pt idx="30">
                  <c:v>118.72362461957582</c:v>
                </c:pt>
                <c:pt idx="31">
                  <c:v>118.46895662110396</c:v>
                </c:pt>
                <c:pt idx="32">
                  <c:v>118.21291283395389</c:v>
                </c:pt>
                <c:pt idx="33">
                  <c:v>117.9554991879909</c:v>
                </c:pt>
                <c:pt idx="34">
                  <c:v>117.69672170470065</c:v>
                </c:pt>
                <c:pt idx="35">
                  <c:v>117.43658646711127</c:v>
                </c:pt>
                <c:pt idx="36">
                  <c:v>117.17509961920062</c:v>
                </c:pt>
                <c:pt idx="37">
                  <c:v>116.91226736529786</c:v>
                </c:pt>
                <c:pt idx="38">
                  <c:v>116.6480959694794</c:v>
                </c:pt>
                <c:pt idx="39">
                  <c:v>116.38259175495894</c:v>
                </c:pt>
                <c:pt idx="40">
                  <c:v>116.11576110347247</c:v>
                </c:pt>
                <c:pt idx="41">
                  <c:v>115.84761045465736</c:v>
                </c:pt>
                <c:pt idx="42">
                  <c:v>115.57814630542619</c:v>
                </c:pt>
                <c:pt idx="43">
                  <c:v>115.30737520933555</c:v>
                </c:pt>
                <c:pt idx="44">
                  <c:v>115.03530377594903</c:v>
                </c:pt>
                <c:pt idx="45">
                  <c:v>114.76193867019549</c:v>
                </c:pt>
                <c:pt idx="46">
                  <c:v>114.48728661172204</c:v>
                </c:pt>
                <c:pt idx="47">
                  <c:v>114.21135437424213</c:v>
                </c:pt>
                <c:pt idx="48">
                  <c:v>113.93414878487867</c:v>
                </c:pt>
                <c:pt idx="49">
                  <c:v>113.65567672350231</c:v>
                </c:pt>
                <c:pt idx="50">
                  <c:v>113.37594512206519</c:v>
                </c:pt>
                <c:pt idx="51">
                  <c:v>113.1617083053055</c:v>
                </c:pt>
                <c:pt idx="52">
                  <c:v>113.01309663826331</c:v>
                </c:pt>
                <c:pt idx="53">
                  <c:v>112.86341417352475</c:v>
                </c:pt>
                <c:pt idx="54">
                  <c:v>112.71266397219433</c:v>
                </c:pt>
                <c:pt idx="55">
                  <c:v>112.56084914093867</c:v>
                </c:pt>
                <c:pt idx="56">
                  <c:v>112.40797283173826</c:v>
                </c:pt>
                <c:pt idx="57">
                  <c:v>112.25403824163485</c:v>
                </c:pt>
                <c:pt idx="58">
                  <c:v>112.09904861247466</c:v>
                </c:pt>
                <c:pt idx="59">
                  <c:v>111.94300723064738</c:v>
                </c:pt>
                <c:pt idx="60">
                  <c:v>111.78591742682103</c:v>
                </c:pt>
                <c:pt idx="61">
                  <c:v>111.62778257567268</c:v>
                </c:pt>
                <c:pt idx="62">
                  <c:v>111.46860609561513</c:v>
                </c:pt>
                <c:pt idx="63">
                  <c:v>111.30839144851953</c:v>
                </c:pt>
                <c:pt idx="64">
                  <c:v>111.14714213943391</c:v>
                </c:pt>
                <c:pt idx="65">
                  <c:v>110.98486171629793</c:v>
                </c:pt>
                <c:pt idx="66">
                  <c:v>110.82155376965346</c:v>
                </c:pt>
                <c:pt idx="67">
                  <c:v>110.65722193235153</c:v>
                </c:pt>
                <c:pt idx="68">
                  <c:v>110.49186987925519</c:v>
                </c:pt>
                <c:pt idx="69">
                  <c:v>110.32550132693871</c:v>
                </c:pt>
                <c:pt idx="70">
                  <c:v>110.15812003338304</c:v>
                </c:pt>
                <c:pt idx="71">
                  <c:v>109.98972979766739</c:v>
                </c:pt>
                <c:pt idx="72">
                  <c:v>109.82033445965732</c:v>
                </c:pt>
                <c:pt idx="73">
                  <c:v>109.64993789968911</c:v>
                </c:pt>
                <c:pt idx="74">
                  <c:v>109.47854403825058</c:v>
                </c:pt>
                <c:pt idx="75">
                  <c:v>109.30615683565821</c:v>
                </c:pt>
                <c:pt idx="76">
                  <c:v>109.13278029173114</c:v>
                </c:pt>
                <c:pt idx="77">
                  <c:v>108.95841844546132</c:v>
                </c:pt>
                <c:pt idx="78">
                  <c:v>108.78307537468055</c:v>
                </c:pt>
                <c:pt idx="79">
                  <c:v>108.60675519572395</c:v>
                </c:pt>
                <c:pt idx="80">
                  <c:v>108.42946206309043</c:v>
                </c:pt>
                <c:pt idx="81">
                  <c:v>108.25120016909953</c:v>
                </c:pt>
                <c:pt idx="82">
                  <c:v>108.07197374354543</c:v>
                </c:pt>
                <c:pt idx="83">
                  <c:v>107.89178705334764</c:v>
                </c:pt>
                <c:pt idx="84">
                  <c:v>107.71064440219847</c:v>
                </c:pt>
                <c:pt idx="85">
                  <c:v>107.52855013020779</c:v>
                </c:pt>
                <c:pt idx="86">
                  <c:v>107.34550861354448</c:v>
                </c:pt>
                <c:pt idx="87">
                  <c:v>107.16152426407517</c:v>
                </c:pt>
                <c:pt idx="88">
                  <c:v>106.97660152899979</c:v>
                </c:pt>
                <c:pt idx="89">
                  <c:v>106.79074489048485</c:v>
                </c:pt>
                <c:pt idx="90">
                  <c:v>106.60395886529325</c:v>
                </c:pt>
                <c:pt idx="91">
                  <c:v>106.41624800441191</c:v>
                </c:pt>
                <c:pt idx="92">
                  <c:v>106.22761689267645</c:v>
                </c:pt>
                <c:pt idx="93">
                  <c:v>106.03807014839336</c:v>
                </c:pt>
                <c:pt idx="94">
                  <c:v>105.84761242295964</c:v>
                </c:pt>
                <c:pt idx="95">
                  <c:v>105.65624840047981</c:v>
                </c:pt>
                <c:pt idx="96">
                  <c:v>105.4639827973806</c:v>
                </c:pt>
                <c:pt idx="97">
                  <c:v>105.27082036202317</c:v>
                </c:pt>
                <c:pt idx="98">
                  <c:v>105.07676587431314</c:v>
                </c:pt>
                <c:pt idx="99">
                  <c:v>104.88182414530812</c:v>
                </c:pt>
                <c:pt idx="100">
                  <c:v>104.68600001682316</c:v>
                </c:pt>
                <c:pt idx="101">
                  <c:v>104.45833748964351</c:v>
                </c:pt>
                <c:pt idx="102">
                  <c:v>104.19880133880602</c:v>
                </c:pt>
                <c:pt idx="103">
                  <c:v>103.93835217037905</c:v>
                </c:pt>
                <c:pt idx="104">
                  <c:v>103.67699676801331</c:v>
                </c:pt>
                <c:pt idx="105">
                  <c:v>103.41474194146406</c:v>
                </c:pt>
                <c:pt idx="106">
                  <c:v>103.15159452600409</c:v>
                </c:pt>
                <c:pt idx="107">
                  <c:v>102.88756138183594</c:v>
                </c:pt>
                <c:pt idx="108">
                  <c:v>102.62264939350294</c:v>
                </c:pt>
                <c:pt idx="109">
                  <c:v>102.35686546929998</c:v>
                </c:pt>
                <c:pt idx="110">
                  <c:v>102.09021654068323</c:v>
                </c:pt>
                <c:pt idx="111">
                  <c:v>101.82270956167957</c:v>
                </c:pt>
                <c:pt idx="112">
                  <c:v>101.55435150829541</c:v>
                </c:pt>
                <c:pt idx="113">
                  <c:v>101.28514937792515</c:v>
                </c:pt>
                <c:pt idx="114">
                  <c:v>101.01511018875935</c:v>
                </c:pt>
                <c:pt idx="115">
                  <c:v>100.74424097919277</c:v>
                </c:pt>
                <c:pt idx="116">
                  <c:v>100.47254880723209</c:v>
                </c:pt>
                <c:pt idx="117">
                  <c:v>100.20004074990382</c:v>
                </c:pt>
                <c:pt idx="118">
                  <c:v>99.926723902661948</c:v>
                </c:pt>
                <c:pt idx="119">
                  <c:v>99.652605378796025</c:v>
                </c:pt>
                <c:pt idx="120">
                  <c:v>99.377692308839315</c:v>
                </c:pt>
                <c:pt idx="121">
                  <c:v>99.101991839977174</c:v>
                </c:pt>
                <c:pt idx="122">
                  <c:v>98.825511135455926</c:v>
                </c:pt>
                <c:pt idx="123">
                  <c:v>98.548257373992087</c:v>
                </c:pt>
                <c:pt idx="124">
                  <c:v>98.270237749182186</c:v>
                </c:pt>
                <c:pt idx="125">
                  <c:v>97.991459468913234</c:v>
                </c:pt>
                <c:pt idx="126">
                  <c:v>97.711929754773834</c:v>
                </c:pt>
                <c:pt idx="127">
                  <c:v>97.431655841466053</c:v>
                </c:pt>
                <c:pt idx="128">
                  <c:v>97.150644976218231</c:v>
                </c:pt>
                <c:pt idx="129">
                  <c:v>96.868904418198682</c:v>
                </c:pt>
                <c:pt idx="130">
                  <c:v>96.586441437930375</c:v>
                </c:pt>
                <c:pt idx="131">
                  <c:v>96.30326331670679</c:v>
                </c:pt>
                <c:pt idx="132">
                  <c:v>96.019377346008937</c:v>
                </c:pt>
                <c:pt idx="133">
                  <c:v>95.734790826923515</c:v>
                </c:pt>
                <c:pt idx="134">
                  <c:v>95.449511069562618</c:v>
                </c:pt>
                <c:pt idx="135">
                  <c:v>95.16354539248448</c:v>
                </c:pt>
                <c:pt idx="136">
                  <c:v>94.876901122116152</c:v>
                </c:pt>
                <c:pt idx="137">
                  <c:v>94.589585592177357</c:v>
                </c:pt>
                <c:pt idx="138">
                  <c:v>94.301606143106184</c:v>
                </c:pt>
                <c:pt idx="139">
                  <c:v>94.012970121486404</c:v>
                </c:pt>
                <c:pt idx="140">
                  <c:v>93.723684879476451</c:v>
                </c:pt>
                <c:pt idx="141">
                  <c:v>93.433757774240505</c:v>
                </c:pt>
                <c:pt idx="142">
                  <c:v>93.143196167381234</c:v>
                </c:pt>
                <c:pt idx="143">
                  <c:v>92.852007424374676</c:v>
                </c:pt>
                <c:pt idx="144">
                  <c:v>92.560198914007046</c:v>
                </c:pt>
                <c:pt idx="145">
                  <c:v>92.267778007813789</c:v>
                </c:pt>
                <c:pt idx="146">
                  <c:v>91.974752079520755</c:v>
                </c:pt>
                <c:pt idx="147">
                  <c:v>91.681128504487617</c:v>
                </c:pt>
                <c:pt idx="148">
                  <c:v>91.386914659153646</c:v>
                </c:pt>
                <c:pt idx="149">
                  <c:v>91.092117920485876</c:v>
                </c:pt>
                <c:pt idx="150">
                  <c:v>90.79674566542964</c:v>
                </c:pt>
                <c:pt idx="151">
                  <c:v>90.511397988018828</c:v>
                </c:pt>
                <c:pt idx="152">
                  <c:v>90.236089600917623</c:v>
                </c:pt>
                <c:pt idx="153">
                  <c:v>89.960231556173227</c:v>
                </c:pt>
                <c:pt idx="154">
                  <c:v>89.683830638348681</c:v>
                </c:pt>
                <c:pt idx="155">
                  <c:v>89.406893631990556</c:v>
                </c:pt>
                <c:pt idx="156">
                  <c:v>89.129427321144121</c:v>
                </c:pt>
                <c:pt idx="157">
                  <c:v>88.851438488870286</c:v>
                </c:pt>
                <c:pt idx="158">
                  <c:v>88.572933916765081</c:v>
                </c:pt>
                <c:pt idx="159">
                  <c:v>88.293920384481396</c:v>
                </c:pt>
                <c:pt idx="160">
                  <c:v>88.014404669253324</c:v>
                </c:pt>
                <c:pt idx="161">
                  <c:v>87.734393545422833</c:v>
                </c:pt>
                <c:pt idx="162">
                  <c:v>87.453893783968851</c:v>
                </c:pt>
                <c:pt idx="163">
                  <c:v>87.172912152039217</c:v>
                </c:pt>
                <c:pt idx="164">
                  <c:v>86.891455412484902</c:v>
                </c:pt>
                <c:pt idx="165">
                  <c:v>86.609530323397195</c:v>
                </c:pt>
                <c:pt idx="166">
                  <c:v>86.327143637647453</c:v>
                </c:pt>
                <c:pt idx="167">
                  <c:v>86.044302102429597</c:v>
                </c:pt>
                <c:pt idx="168">
                  <c:v>85.761012458805439</c:v>
                </c:pt>
                <c:pt idx="169">
                  <c:v>85.477281441252899</c:v>
                </c:pt>
                <c:pt idx="170">
                  <c:v>85.193115777217031</c:v>
                </c:pt>
                <c:pt idx="171">
                  <c:v>84.908522186664143</c:v>
                </c:pt>
                <c:pt idx="172">
                  <c:v>84.623507381638561</c:v>
                </c:pt>
                <c:pt idx="173">
                  <c:v>84.338078065822884</c:v>
                </c:pt>
                <c:pt idx="174">
                  <c:v>84.052240934100922</c:v>
                </c:pt>
                <c:pt idx="175">
                  <c:v>83.766002672123861</c:v>
                </c:pt>
                <c:pt idx="176">
                  <c:v>83.479369955879591</c:v>
                </c:pt>
                <c:pt idx="177">
                  <c:v>83.192349451265216</c:v>
                </c:pt>
                <c:pt idx="178">
                  <c:v>82.90494781366273</c:v>
                </c:pt>
                <c:pt idx="179">
                  <c:v>82.617171687517938</c:v>
                </c:pt>
                <c:pt idx="180">
                  <c:v>82.329027705922854</c:v>
                </c:pt>
                <c:pt idx="181">
                  <c:v>82.040522490200985</c:v>
                </c:pt>
                <c:pt idx="182">
                  <c:v>81.751662649496566</c:v>
                </c:pt>
                <c:pt idx="183">
                  <c:v>81.462454780366713</c:v>
                </c:pt>
                <c:pt idx="184">
                  <c:v>81.172905466377188</c:v>
                </c:pt>
                <c:pt idx="185">
                  <c:v>80.883021277701602</c:v>
                </c:pt>
                <c:pt idx="186">
                  <c:v>80.592808770724133</c:v>
                </c:pt>
                <c:pt idx="187">
                  <c:v>80.302274487645761</c:v>
                </c:pt>
                <c:pt idx="188">
                  <c:v>80.011424956093904</c:v>
                </c:pt>
                <c:pt idx="189">
                  <c:v>79.720266688735904</c:v>
                </c:pt>
                <c:pt idx="190">
                  <c:v>79.428806182895912</c:v>
                </c:pt>
                <c:pt idx="191">
                  <c:v>79.137049920175414</c:v>
                </c:pt>
                <c:pt idx="192">
                  <c:v>78.845004366077475</c:v>
                </c:pt>
                <c:pt idx="193">
                  <c:v>78.552675969634777</c:v>
                </c:pt>
                <c:pt idx="194">
                  <c:v>78.260071163041019</c:v>
                </c:pt>
                <c:pt idx="195">
                  <c:v>77.967196361286526</c:v>
                </c:pt>
                <c:pt idx="196">
                  <c:v>77.674057961797132</c:v>
                </c:pt>
                <c:pt idx="197">
                  <c:v>77.38066234407728</c:v>
                </c:pt>
                <c:pt idx="198">
                  <c:v>77.087015869356492</c:v>
                </c:pt>
                <c:pt idx="199">
                  <c:v>76.793124880240043</c:v>
                </c:pt>
                <c:pt idx="200">
                  <c:v>76.498995700363324</c:v>
                </c:pt>
                <c:pt idx="201">
                  <c:v>76.204634634049867</c:v>
                </c:pt>
                <c:pt idx="202">
                  <c:v>75.91004796597359</c:v>
                </c:pt>
                <c:pt idx="203">
                  <c:v>75.615241960824818</c:v>
                </c:pt>
                <c:pt idx="204">
                  <c:v>75.320222862979932</c:v>
                </c:pt>
                <c:pt idx="205">
                  <c:v>75.024996896175509</c:v>
                </c:pt>
                <c:pt idx="206">
                  <c:v>74.729570263185806</c:v>
                </c:pt>
                <c:pt idx="207">
                  <c:v>74.433949145504585</c:v>
                </c:pt>
                <c:pt idx="208">
                  <c:v>74.138139703030888</c:v>
                </c:pt>
                <c:pt idx="209">
                  <c:v>73.842148073758509</c:v>
                </c:pt>
                <c:pt idx="210">
                  <c:v>73.545980373469888</c:v>
                </c:pt>
                <c:pt idx="211">
                  <c:v>73.249642695433565</c:v>
                </c:pt>
                <c:pt idx="212">
                  <c:v>72.953141110105989</c:v>
                </c:pt>
                <c:pt idx="213">
                  <c:v>72.656481664837202</c:v>
                </c:pt>
                <c:pt idx="214">
                  <c:v>72.359670383580593</c:v>
                </c:pt>
                <c:pt idx="215">
                  <c:v>72.062713266606693</c:v>
                </c:pt>
                <c:pt idx="216">
                  <c:v>71.76561629022099</c:v>
                </c:pt>
                <c:pt idx="217">
                  <c:v>71.468385406485808</c:v>
                </c:pt>
                <c:pt idx="218">
                  <c:v>71.171026542946407</c:v>
                </c:pt>
                <c:pt idx="219">
                  <c:v>70.873545602360792</c:v>
                </c:pt>
                <c:pt idx="220">
                  <c:v>70.57594846243407</c:v>
                </c:pt>
                <c:pt idx="221">
                  <c:v>70.2782409755564</c:v>
                </c:pt>
                <c:pt idx="222">
                  <c:v>69.980428968545411</c:v>
                </c:pt>
                <c:pt idx="223">
                  <c:v>69.682518242392518</c:v>
                </c:pt>
                <c:pt idx="224">
                  <c:v>69.384514572013245</c:v>
                </c:pt>
                <c:pt idx="225">
                  <c:v>69.08642370600198</c:v>
                </c:pt>
                <c:pt idx="226">
                  <c:v>68.788251366390284</c:v>
                </c:pt>
                <c:pt idx="227">
                  <c:v>68.490003248409849</c:v>
                </c:pt>
                <c:pt idx="228">
                  <c:v>68.191685020259072</c:v>
                </c:pt>
                <c:pt idx="229">
                  <c:v>67.893302322874007</c:v>
                </c:pt>
                <c:pt idx="230">
                  <c:v>67.594860769703359</c:v>
                </c:pt>
                <c:pt idx="231">
                  <c:v>67.296365946487342</c:v>
                </c:pt>
                <c:pt idx="232">
                  <c:v>66.997823411040955</c:v>
                </c:pt>
                <c:pt idx="233">
                  <c:v>66.699238693040968</c:v>
                </c:pt>
                <c:pt idx="234">
                  <c:v>66.400617293817277</c:v>
                </c:pt>
                <c:pt idx="235">
                  <c:v>66.101964686148222</c:v>
                </c:pt>
                <c:pt idx="236">
                  <c:v>65.803286314059719</c:v>
                </c:pt>
                <c:pt idx="237">
                  <c:v>65.504587592628937</c:v>
                </c:pt>
                <c:pt idx="238">
                  <c:v>65.205873907791485</c:v>
                </c:pt>
                <c:pt idx="239">
                  <c:v>64.907150616153018</c:v>
                </c:pt>
                <c:pt idx="240">
                  <c:v>64.608423044804695</c:v>
                </c:pt>
                <c:pt idx="241">
                  <c:v>64.309696491142603</c:v>
                </c:pt>
                <c:pt idx="242">
                  <c:v>64.010976222691426</c:v>
                </c:pt>
                <c:pt idx="243">
                  <c:v>63.712267476931729</c:v>
                </c:pt>
                <c:pt idx="244">
                  <c:v>63.413575461131643</c:v>
                </c:pt>
                <c:pt idx="245">
                  <c:v>63.114905352182262</c:v>
                </c:pt>
                <c:pt idx="246">
                  <c:v>62.816262296436946</c:v>
                </c:pt>
                <c:pt idx="247">
                  <c:v>62.517651409554887</c:v>
                </c:pt>
                <c:pt idx="248">
                  <c:v>62.219077776348207</c:v>
                </c:pt>
                <c:pt idx="249">
                  <c:v>61.920546450633431</c:v>
                </c:pt>
                <c:pt idx="250">
                  <c:v>61.622062455086365</c:v>
                </c:pt>
                <c:pt idx="251">
                  <c:v>61.277513664530311</c:v>
                </c:pt>
                <c:pt idx="252">
                  <c:v>60.88692123721853</c:v>
                </c:pt>
                <c:pt idx="253">
                  <c:v>60.496462063535425</c:v>
                </c:pt>
                <c:pt idx="254">
                  <c:v>60.106142960842099</c:v>
                </c:pt>
                <c:pt idx="255">
                  <c:v>59.715970693501838</c:v>
                </c:pt>
                <c:pt idx="256">
                  <c:v>59.325951972720283</c:v>
                </c:pt>
                <c:pt idx="257">
                  <c:v>58.936093456392555</c:v>
                </c:pt>
                <c:pt idx="258">
                  <c:v>58.546401748957088</c:v>
                </c:pt>
                <c:pt idx="259">
                  <c:v>58.156883401256337</c:v>
                </c:pt>
                <c:pt idx="260">
                  <c:v>57.767544910404268</c:v>
                </c:pt>
                <c:pt idx="261">
                  <c:v>57.378392719660589</c:v>
                </c:pt>
                <c:pt idx="262">
                  <c:v>56.989433218311532</c:v>
                </c:pt>
                <c:pt idx="263">
                  <c:v>56.600672741557382</c:v>
                </c:pt>
                <c:pt idx="264">
                  <c:v>56.212117570406591</c:v>
                </c:pt>
                <c:pt idx="265">
                  <c:v>55.823773931576312</c:v>
                </c:pt>
                <c:pt idx="266">
                  <c:v>55.435647997399514</c:v>
                </c:pt>
                <c:pt idx="267">
                  <c:v>55.047745885738472</c:v>
                </c:pt>
                <c:pt idx="268">
                  <c:v>54.660073659904675</c:v>
                </c:pt>
                <c:pt idx="269">
                  <c:v>54.272637328585013</c:v>
                </c:pt>
                <c:pt idx="270">
                  <c:v>53.885442845774392</c:v>
                </c:pt>
                <c:pt idx="271">
                  <c:v>53.49849611071425</c:v>
                </c:pt>
                <c:pt idx="272">
                  <c:v>53.111802967837626</c:v>
                </c:pt>
                <c:pt idx="273">
                  <c:v>52.72536920672016</c:v>
                </c:pt>
                <c:pt idx="274">
                  <c:v>52.339200562037043</c:v>
                </c:pt>
                <c:pt idx="275">
                  <c:v>51.95330271352627</c:v>
                </c:pt>
                <c:pt idx="276">
                  <c:v>51.567681285957626</c:v>
                </c:pt>
                <c:pt idx="277">
                  <c:v>51.182341849107615</c:v>
                </c:pt>
                <c:pt idx="278">
                  <c:v>50.797289917740244</c:v>
                </c:pt>
                <c:pt idx="279">
                  <c:v>50.412530951593659</c:v>
                </c:pt>
                <c:pt idx="280">
                  <c:v>50.028070355372435</c:v>
                </c:pt>
                <c:pt idx="281">
                  <c:v>49.643913478745553</c:v>
                </c:pt>
                <c:pt idx="282">
                  <c:v>49.260065616350019</c:v>
                </c:pt>
                <c:pt idx="283">
                  <c:v>48.876532007800094</c:v>
                </c:pt>
                <c:pt idx="284">
                  <c:v>48.493317837701781</c:v>
                </c:pt>
                <c:pt idx="285">
                  <c:v>48.110428235673155</c:v>
                </c:pt>
                <c:pt idx="286">
                  <c:v>47.727868276369698</c:v>
                </c:pt>
                <c:pt idx="287">
                  <c:v>47.345642979515162</c:v>
                </c:pt>
                <c:pt idx="288">
                  <c:v>46.963757309937677</c:v>
                </c:pt>
                <c:pt idx="289">
                  <c:v>46.582216177611038</c:v>
                </c:pt>
                <c:pt idx="290">
                  <c:v>46.201024437701058</c:v>
                </c:pt>
                <c:pt idx="291">
                  <c:v>45.820186890617229</c:v>
                </c:pt>
                <c:pt idx="292">
                  <c:v>45.439708282069084</c:v>
                </c:pt>
                <c:pt idx="293">
                  <c:v>45.059593303127819</c:v>
                </c:pt>
                <c:pt idx="294">
                  <c:v>44.679846590292691</c:v>
                </c:pt>
                <c:pt idx="295">
                  <c:v>44.300472725562223</c:v>
                </c:pt>
                <c:pt idx="296">
                  <c:v>43.92147623651023</c:v>
                </c:pt>
                <c:pt idx="297">
                  <c:v>43.542861596366606</c:v>
                </c:pt>
                <c:pt idx="298">
                  <c:v>42.656752594785615</c:v>
                </c:pt>
                <c:pt idx="299">
                  <c:v>41.263594017349597</c:v>
                </c:pt>
                <c:pt idx="300">
                  <c:v>39.872066969478027</c:v>
                </c:pt>
                <c:pt idx="301">
                  <c:v>38.482207301275466</c:v>
                </c:pt>
                <c:pt idx="302">
                  <c:v>37.09405021962862</c:v>
                </c:pt>
                <c:pt idx="303">
                  <c:v>35.707630288815608</c:v>
                </c:pt>
                <c:pt idx="304">
                  <c:v>34.322981431251556</c:v>
                </c:pt>
                <c:pt idx="305">
                  <c:v>32.94013692836824</c:v>
                </c:pt>
                <c:pt idx="306">
                  <c:v>31.559129421625524</c:v>
                </c:pt>
                <c:pt idx="307">
                  <c:v>30.179990913651963</c:v>
                </c:pt>
                <c:pt idx="308">
                  <c:v>28.802752769511933</c:v>
                </c:pt>
                <c:pt idx="309">
                  <c:v>27.427445718097442</c:v>
                </c:pt>
                <c:pt idx="310">
                  <c:v>26.054099853641468</c:v>
                </c:pt>
                <c:pt idx="311">
                  <c:v>24.68274463735067</c:v>
                </c:pt>
                <c:pt idx="312">
                  <c:v>23.313408899155149</c:v>
                </c:pt>
                <c:pt idx="313">
                  <c:v>21.946120839572156</c:v>
                </c:pt>
                <c:pt idx="314">
                  <c:v>20.580908031681997</c:v>
                </c:pt>
                <c:pt idx="315">
                  <c:v>19.217797423213117</c:v>
                </c:pt>
                <c:pt idx="316">
                  <c:v>17.856815338733917</c:v>
                </c:pt>
                <c:pt idx="317">
                  <c:v>16.497987481949011</c:v>
                </c:pt>
                <c:pt idx="318">
                  <c:v>15.141338938097212</c:v>
                </c:pt>
                <c:pt idx="319">
                  <c:v>13.786894176448788</c:v>
                </c:pt>
                <c:pt idx="320">
                  <c:v>12.434677052899486</c:v>
                </c:pt>
                <c:pt idx="321">
                  <c:v>11.286900999656062</c:v>
                </c:pt>
                <c:pt idx="322">
                  <c:v>10.34327824401538</c:v>
                </c:pt>
                <c:pt idx="323">
                  <c:v>9.4012524454983843</c:v>
                </c:pt>
                <c:pt idx="324">
                  <c:v>8.4608330639567839</c:v>
                </c:pt>
                <c:pt idx="325">
                  <c:v>7.5220292683913144</c:v>
                </c:pt>
                <c:pt idx="326">
                  <c:v>6.5848499387049761</c:v>
                </c:pt>
                <c:pt idx="327">
                  <c:v>5.6493036674794865</c:v>
                </c:pt>
                <c:pt idx="328">
                  <c:v>4.7153987617743276</c:v>
                </c:pt>
                <c:pt idx="329">
                  <c:v>3.7831432449472895</c:v>
                </c:pt>
                <c:pt idx="330">
                  <c:v>2.8525448584957909</c:v>
                </c:pt>
                <c:pt idx="331">
                  <c:v>1.9236110639181909</c:v>
                </c:pt>
                <c:pt idx="332">
                  <c:v>0.99634904459427165</c:v>
                </c:pt>
                <c:pt idx="333">
                  <c:v>7.0765707684012524E-2</c:v>
                </c:pt>
                <c:pt idx="334">
                  <c:v>-0.85313231395600098</c:v>
                </c:pt>
                <c:pt idx="335">
                  <c:v>-1.7753386598394505</c:v>
                </c:pt>
                <c:pt idx="336">
                  <c:v>-2.6958472399011386</c:v>
                </c:pt>
                <c:pt idx="337">
                  <c:v>-3.6146522325325785</c:v>
                </c:pt>
                <c:pt idx="338">
                  <c:v>-4.5317480826031646</c:v>
                </c:pt>
                <c:pt idx="339">
                  <c:v>-5.4471294994675921</c:v>
                </c:pt>
                <c:pt idx="340">
                  <c:v>-6.3607914549603404</c:v>
                </c:pt>
                <c:pt idx="341">
                  <c:v>-7.2727291813778487</c:v>
                </c:pt>
                <c:pt idx="342">
                  <c:v>-8.182938169449276</c:v>
                </c:pt>
                <c:pt idx="343">
                  <c:v>-9.0914141662963868</c:v>
                </c:pt>
                <c:pt idx="344">
                  <c:v>-9.9981531733834039</c:v>
                </c:pt>
                <c:pt idx="345">
                  <c:v>-10.903151444457478</c:v>
                </c:pt>
                <c:pt idx="346">
                  <c:v>-11.806405483480384</c:v>
                </c:pt>
                <c:pt idx="347">
                  <c:v>-12.707912042552373</c:v>
                </c:pt>
                <c:pt idx="348">
                  <c:v>-13.585851945019312</c:v>
                </c:pt>
                <c:pt idx="349">
                  <c:v>-14.44026606167901</c:v>
                </c:pt>
                <c:pt idx="350">
                  <c:v>-15.293014142584545</c:v>
                </c:pt>
                <c:pt idx="351">
                  <c:v>-16.144094552362375</c:v>
                </c:pt>
                <c:pt idx="352">
                  <c:v>-16.993505868740698</c:v>
                </c:pt>
                <c:pt idx="353">
                  <c:v>-17.841246880632344</c:v>
                </c:pt>
                <c:pt idx="354">
                  <c:v>-18.687316586215843</c:v>
                </c:pt>
                <c:pt idx="355">
                  <c:v>-19.531714191015165</c:v>
                </c:pt>
                <c:pt idx="356">
                  <c:v>-20.374439105978588</c:v>
                </c:pt>
                <c:pt idx="357">
                  <c:v>-21.215490945557331</c:v>
                </c:pt>
                <c:pt idx="358">
                  <c:v>-22.054869525784301</c:v>
                </c:pt>
                <c:pt idx="359">
                  <c:v>-22.892574862353587</c:v>
                </c:pt>
                <c:pt idx="360">
                  <c:v>-23.274879238418265</c:v>
                </c:pt>
                <c:pt idx="361">
                  <c:v>-23.202761812981283</c:v>
                </c:pt>
                <c:pt idx="362">
                  <c:v>-23.130925346498266</c:v>
                </c:pt>
                <c:pt idx="363">
                  <c:v>-23.059368382029174</c:v>
                </c:pt>
                <c:pt idx="364">
                  <c:v>-22.988089472161064</c:v>
                </c:pt>
                <c:pt idx="365">
                  <c:v>-22.91708717893319</c:v>
                </c:pt>
                <c:pt idx="366">
                  <c:v>-22.846360073762639</c:v>
                </c:pt>
                <c:pt idx="367">
                  <c:v>-22.77590673737075</c:v>
                </c:pt>
                <c:pt idx="368">
                  <c:v>-22.705725759710212</c:v>
                </c:pt>
                <c:pt idx="369">
                  <c:v>-22.63581573989276</c:v>
                </c:pt>
                <c:pt idx="370">
                  <c:v>-22.566175286117584</c:v>
                </c:pt>
                <c:pt idx="371">
                  <c:v>-22.496803015600399</c:v>
                </c:pt>
                <c:pt idx="372">
                  <c:v>-22.427697554503137</c:v>
                </c:pt>
                <c:pt idx="373">
                  <c:v>-22.358857537864282</c:v>
                </c:pt>
                <c:pt idx="374">
                  <c:v>-22.290281609529821</c:v>
                </c:pt>
                <c:pt idx="375">
                  <c:v>-22.221968422084899</c:v>
                </c:pt>
                <c:pt idx="376">
                  <c:v>-22.153916636786047</c:v>
                </c:pt>
                <c:pt idx="377">
                  <c:v>-22.086124923493927</c:v>
                </c:pt>
                <c:pt idx="378">
                  <c:v>-22.018591960606877</c:v>
                </c:pt>
                <c:pt idx="379">
                  <c:v>-21.951316434994943</c:v>
                </c:pt>
                <c:pt idx="380">
                  <c:v>-21.884297041934488</c:v>
                </c:pt>
                <c:pt idx="381">
                  <c:v>-21.817532485043429</c:v>
                </c:pt>
                <c:pt idx="382">
                  <c:v>-21.751021476217094</c:v>
                </c:pt>
                <c:pt idx="383">
                  <c:v>-21.684762735564572</c:v>
                </c:pt>
                <c:pt idx="384">
                  <c:v>-21.618754991345714</c:v>
                </c:pt>
                <c:pt idx="385">
                  <c:v>-21.552996979908638</c:v>
                </c:pt>
                <c:pt idx="386">
                  <c:v>-21.487487445627846</c:v>
                </c:pt>
                <c:pt idx="387">
                  <c:v>-21.422225140842841</c:v>
                </c:pt>
                <c:pt idx="388">
                  <c:v>-21.357208825797326</c:v>
                </c:pt>
                <c:pt idx="389">
                  <c:v>-21.292437268578965</c:v>
                </c:pt>
                <c:pt idx="390">
                  <c:v>-21.227909245059635</c:v>
                </c:pt>
                <c:pt idx="391">
                  <c:v>-21.163623538836251</c:v>
                </c:pt>
                <c:pt idx="392">
                  <c:v>-21.099578941172076</c:v>
                </c:pt>
                <c:pt idx="393">
                  <c:v>-21.035774250938569</c:v>
                </c:pt>
                <c:pt idx="394">
                  <c:v>-20.972208274557762</c:v>
                </c:pt>
                <c:pt idx="395">
                  <c:v>-20.908879825945181</c:v>
                </c:pt>
                <c:pt idx="396">
                  <c:v>-20.845787726453139</c:v>
                </c:pt>
                <c:pt idx="397">
                  <c:v>-20.782930804814725</c:v>
                </c:pt>
                <c:pt idx="398">
                  <c:v>-20.720307897088109</c:v>
                </c:pt>
                <c:pt idx="399">
                  <c:v>-20.657917846601435</c:v>
                </c:pt>
                <c:pt idx="400">
                  <c:v>-20.595759503898158</c:v>
                </c:pt>
                <c:pt idx="401">
                  <c:v>-20.533831726682941</c:v>
                </c:pt>
                <c:pt idx="402">
                  <c:v>-19.921868968219204</c:v>
                </c:pt>
                <c:pt idx="403">
                  <c:v>-19.33220102280454</c:v>
                </c:pt>
                <c:pt idx="404">
                  <c:v>-18.763759945777387</c:v>
                </c:pt>
                <c:pt idx="405">
                  <c:v>-18.215541777451325</c:v>
                </c:pt>
                <c:pt idx="406">
                  <c:v>-17.686601973616803</c:v>
                </c:pt>
                <c:pt idx="407">
                  <c:v>-17.176051213983673</c:v>
                </c:pt>
                <c:pt idx="408">
                  <c:v>-16.683051553140267</c:v>
                </c:pt>
                <c:pt idx="409">
                  <c:v>-16.20681288230702</c:v>
                </c:pt>
                <c:pt idx="410">
                  <c:v>-15.746589673438351</c:v>
                </c:pt>
                <c:pt idx="411">
                  <c:v>-15.301677980130336</c:v>
                </c:pt>
                <c:pt idx="412">
                  <c:v>-14.871412672368967</c:v>
                </c:pt>
                <c:pt idx="413">
                  <c:v>-14.455164884444532</c:v>
                </c:pt>
                <c:pt idx="414">
                  <c:v>-14.052339657397294</c:v>
                </c:pt>
                <c:pt idx="415">
                  <c:v>-13.662373759176726</c:v>
                </c:pt>
                <c:pt idx="416">
                  <c:v>-13.284733667319587</c:v>
                </c:pt>
                <c:pt idx="417">
                  <c:v>-12.918913700401605</c:v>
                </c:pt>
                <c:pt idx="418">
                  <c:v>-12.564434285815308</c:v>
                </c:pt>
                <c:pt idx="419">
                  <c:v>-12.220840352589011</c:v>
                </c:pt>
                <c:pt idx="420">
                  <c:v>-11.887699839004858</c:v>
                </c:pt>
                <c:pt idx="421">
                  <c:v>-11.564602305710496</c:v>
                </c:pt>
                <c:pt idx="422">
                  <c:v>-11.251157645861204</c:v>
                </c:pt>
                <c:pt idx="423">
                  <c:v>-10.946994884587578</c:v>
                </c:pt>
                <c:pt idx="424">
                  <c:v>-10.651761060767111</c:v>
                </c:pt>
                <c:pt idx="425">
                  <c:v>-10.365120184694497</c:v>
                </c:pt>
                <c:pt idx="426">
                  <c:v>-10.086752265802506</c:v>
                </c:pt>
                <c:pt idx="427">
                  <c:v>-9.8163524050884163</c:v>
                </c:pt>
                <c:pt idx="428">
                  <c:v>-9.5536299473569564</c:v>
                </c:pt>
                <c:pt idx="429">
                  <c:v>-9.2983076888031952</c:v>
                </c:pt>
                <c:pt idx="430">
                  <c:v>-9.0501211358334643</c:v>
                </c:pt>
                <c:pt idx="431">
                  <c:v>-8.808817811362017</c:v>
                </c:pt>
                <c:pt idx="432">
                  <c:v>-8.574156605129998</c:v>
                </c:pt>
                <c:pt idx="433">
                  <c:v>-8.3459071648740721</c:v>
                </c:pt>
                <c:pt idx="434">
                  <c:v>-8.1238493254276065</c:v>
                </c:pt>
                <c:pt idx="435">
                  <c:v>-7.9077725730704165</c:v>
                </c:pt>
                <c:pt idx="436">
                  <c:v>-7.6974755426551198</c:v>
                </c:pt>
                <c:pt idx="437">
                  <c:v>-7.4927655452322197</c:v>
                </c:pt>
                <c:pt idx="438">
                  <c:v>-7.2934581240730827</c:v>
                </c:pt>
                <c:pt idx="439">
                  <c:v>-7.0993766371516474</c:v>
                </c:pt>
                <c:pt idx="440">
                  <c:v>-6.9103518642940394</c:v>
                </c:pt>
                <c:pt idx="441">
                  <c:v>-6.7262216373406343</c:v>
                </c:pt>
                <c:pt idx="442">
                  <c:v>-6.5468304917896623</c:v>
                </c:pt>
                <c:pt idx="443">
                  <c:v>-6.3720293385051532</c:v>
                </c:pt>
                <c:pt idx="444">
                  <c:v>-6.2016751541767956</c:v>
                </c:pt>
                <c:pt idx="445">
                  <c:v>-6.0356306893152825</c:v>
                </c:pt>
                <c:pt idx="446">
                  <c:v>-5.8737641926551376</c:v>
                </c:pt>
                <c:pt idx="447">
                  <c:v>-5.7159491509180658</c:v>
                </c:pt>
                <c:pt idx="448">
                  <c:v>-5.5620640429648445</c:v>
                </c:pt>
                <c:pt idx="449">
                  <c:v>-5.4119921074325035</c:v>
                </c:pt>
                <c:pt idx="450">
                  <c:v>-5.2656211230171124</c:v>
                </c:pt>
                <c:pt idx="451">
                  <c:v>-5.1228432006210056</c:v>
                </c:pt>
                <c:pt idx="452">
                  <c:v>-4.9835545866373234</c:v>
                </c:pt>
                <c:pt idx="453">
                  <c:v>-4.8476554766947269</c:v>
                </c:pt>
                <c:pt idx="454">
                  <c:v>-4.7150498392311873</c:v>
                </c:pt>
                <c:pt idx="455">
                  <c:v>-4.5856452483084489</c:v>
                </c:pt>
                <c:pt idx="456">
                  <c:v>-4.4593527251182872</c:v>
                </c:pt>
                <c:pt idx="457">
                  <c:v>-4.3360865876681656</c:v>
                </c:pt>
                <c:pt idx="458">
                  <c:v>-4.2157643081677723</c:v>
                </c:pt>
                <c:pt idx="459">
                  <c:v>-4.0983063776693411</c:v>
                </c:pt>
                <c:pt idx="460">
                  <c:v>-3.9836361775437545</c:v>
                </c:pt>
                <c:pt idx="461">
                  <c:v>-3.8716798574014173</c:v>
                </c:pt>
                <c:pt idx="462">
                  <c:v>-3.7623662190920717</c:v>
                </c:pt>
                <c:pt idx="463">
                  <c:v>-3.6556266064409084</c:v>
                </c:pt>
                <c:pt idx="464">
                  <c:v>-3.5513948004001401</c:v>
                </c:pt>
                <c:pt idx="465">
                  <c:v>-3.4496069193152348</c:v>
                </c:pt>
                <c:pt idx="466">
                  <c:v>-3.3502013240238866</c:v>
                </c:pt>
                <c:pt idx="467">
                  <c:v>-3.2531185275231445</c:v>
                </c:pt>
                <c:pt idx="468">
                  <c:v>-3.1583011089565258</c:v>
                </c:pt>
                <c:pt idx="469">
                  <c:v>-3.0656936316879801</c:v>
                </c:pt>
                <c:pt idx="470">
                  <c:v>-2.9752425652438195</c:v>
                </c:pt>
                <c:pt idx="471">
                  <c:v>-2.8868962109168557</c:v>
                </c:pt>
                <c:pt idx="472">
                  <c:v>-2.8006046308393575</c:v>
                </c:pt>
                <c:pt idx="473">
                  <c:v>-2.7163195803428826</c:v>
                </c:pt>
                <c:pt idx="474">
                  <c:v>-2.6339944434338745</c:v>
                </c:pt>
                <c:pt idx="475">
                  <c:v>-2.5535841712238665</c:v>
                </c:pt>
                <c:pt idx="476">
                  <c:v>-2.4750452231626241</c:v>
                </c:pt>
                <c:pt idx="477">
                  <c:v>-2.3983355109312781</c:v>
                </c:pt>
                <c:pt idx="478">
                  <c:v>-2.3234143448607782</c:v>
                </c:pt>
                <c:pt idx="479">
                  <c:v>-2.2502423827486862</c:v>
                </c:pt>
                <c:pt idx="480">
                  <c:v>-2.1787815809545399</c:v>
                </c:pt>
                <c:pt idx="481">
                  <c:v>-2.1089951476608308</c:v>
                </c:pt>
                <c:pt idx="482">
                  <c:v>-2.040847498192925</c:v>
                </c:pt>
                <c:pt idx="483">
                  <c:v>-1.974304212297266</c:v>
                </c:pt>
                <c:pt idx="484">
                  <c:v>-1.9093319932827519</c:v>
                </c:pt>
                <c:pt idx="485">
                  <c:v>-1.8458986289354478</c:v>
                </c:pt>
                <c:pt idx="486">
                  <c:v>-1.7839729541217015</c:v>
                </c:pt>
                <c:pt idx="487">
                  <c:v>-1.7235248149993905</c:v>
                </c:pt>
                <c:pt idx="488">
                  <c:v>-1.6645250347613345</c:v>
                </c:pt>
                <c:pt idx="489">
                  <c:v>-1.6069453808390592</c:v>
                </c:pt>
                <c:pt idx="490">
                  <c:v>-1.5507585334988838</c:v>
                </c:pt>
                <c:pt idx="491">
                  <c:v>-1.4959380557659825</c:v>
                </c:pt>
                <c:pt idx="492">
                  <c:v>-1.4424583646154345</c:v>
                </c:pt>
                <c:pt idx="493">
                  <c:v>-1.3902947033725135</c:v>
                </c:pt>
                <c:pt idx="494">
                  <c:v>-1.3394231152674807</c:v>
                </c:pt>
                <c:pt idx="495">
                  <c:v>-1.2898204180929911</c:v>
                </c:pt>
                <c:pt idx="496">
                  <c:v>-1.2414641799149051</c:v>
                </c:pt>
                <c:pt idx="497">
                  <c:v>-1.194332695789831</c:v>
                </c:pt>
                <c:pt idx="498">
                  <c:v>-1.148404965445097</c:v>
                </c:pt>
                <c:pt idx="499">
                  <c:v>-1.1036606718791004</c:v>
                </c:pt>
                <c:pt idx="500">
                  <c:v>-1.0600801608421004</c:v>
                </c:pt>
                <c:pt idx="501">
                  <c:v>-1.017644421159503</c:v>
                </c:pt>
                <c:pt idx="502">
                  <c:v>-0.97633506586158048</c:v>
                </c:pt>
                <c:pt idx="503">
                  <c:v>-0.93613431408532077</c:v>
                </c:pt>
                <c:pt idx="504">
                  <c:v>-0.89702497371576739</c:v>
                </c:pt>
                <c:pt idx="505">
                  <c:v>-0.85899042473579135</c:v>
                </c:pt>
                <c:pt idx="506">
                  <c:v>-0.82201460325467524</c:v>
                </c:pt>
                <c:pt idx="507">
                  <c:v>-0.78608198618729297</c:v>
                </c:pt>
                <c:pt idx="508">
                  <c:v>-0.75117757655694162</c:v>
                </c:pt>
                <c:pt idx="509">
                  <c:v>-0.71728688939607976</c:v>
                </c:pt>
                <c:pt idx="510">
                  <c:v>-0.68439593822035483</c:v>
                </c:pt>
                <c:pt idx="511">
                  <c:v>-0.65249122205231247</c:v>
                </c:pt>
                <c:pt idx="512">
                  <c:v>-0.62155971297213908</c:v>
                </c:pt>
                <c:pt idx="513">
                  <c:v>-0.59158884417364355</c:v>
                </c:pt>
                <c:pt idx="514">
                  <c:v>-0.56256649850443918</c:v>
                </c:pt>
                <c:pt idx="515">
                  <c:v>-0.53448099746997935</c:v>
                </c:pt>
                <c:pt idx="516">
                  <c:v>-0.50732109068165576</c:v>
                </c:pt>
                <c:pt idx="517">
                  <c:v>-0.48107594572964685</c:v>
                </c:pt>
                <c:pt idx="518">
                  <c:v>-0.45573513846154251</c:v>
                </c:pt>
                <c:pt idx="519">
                  <c:v>-0.43128864364799052</c:v>
                </c:pt>
                <c:pt idx="520">
                  <c:v>-0.40772682601667493</c:v>
                </c:pt>
                <c:pt idx="521">
                  <c:v>-0.3850404316358273</c:v>
                </c:pt>
                <c:pt idx="522">
                  <c:v>-0.36322057962817372</c:v>
                </c:pt>
                <c:pt idx="523">
                  <c:v>-0.34225875419567664</c:v>
                </c:pt>
                <c:pt idx="524">
                  <c:v>-0.32214679693462228</c:v>
                </c:pt>
                <c:pt idx="525">
                  <c:v>-0.30287689941946422</c:v>
                </c:pt>
                <c:pt idx="526">
                  <c:v>-0.28444159603230357</c:v>
                </c:pt>
                <c:pt idx="527">
                  <c:v>-0.26683375701289264</c:v>
                </c:pt>
                <c:pt idx="528">
                  <c:v>-0.25004658170148653</c:v>
                </c:pt>
                <c:pt idx="529">
                  <c:v>-0.23407359194363725</c:v>
                </c:pt>
                <c:pt idx="530">
                  <c:v>-0.21890862562199037</c:v>
                </c:pt>
                <c:pt idx="531">
                  <c:v>-0.20454583027514883</c:v>
                </c:pt>
                <c:pt idx="532">
                  <c:v>-0.19097965675754794</c:v>
                </c:pt>
                <c:pt idx="533">
                  <c:v>-0.17820485288685364</c:v>
                </c:pt>
                <c:pt idx="534">
                  <c:v>-0.16621645701646715</c:v>
                </c:pt>
                <c:pt idx="535">
                  <c:v>-0.1550097914601298</c:v>
                </c:pt>
                <c:pt idx="536">
                  <c:v>-0.14458045568327724</c:v>
                </c:pt>
                <c:pt idx="537">
                  <c:v>-0.1349243191617007</c:v>
                </c:pt>
                <c:pt idx="538">
                  <c:v>-0.12603751379247516</c:v>
                </c:pt>
                <c:pt idx="539">
                  <c:v>-0.11791642572556785</c:v>
                </c:pt>
                <c:pt idx="540">
                  <c:v>-0.11055768646810323</c:v>
                </c:pt>
                <c:pt idx="541">
                  <c:v>-0.10395816309868326</c:v>
                </c:pt>
                <c:pt idx="542">
                  <c:v>-9.8114947419022783E-2</c:v>
                </c:pt>
                <c:pt idx="543">
                  <c:v>-9.3025343868009785E-2</c:v>
                </c:pt>
                <c:pt idx="544">
                  <c:v>-8.8686856033529271E-2</c:v>
                </c:pt>
                <c:pt idx="545">
                  <c:v>-8.5097171624794216E-2</c:v>
                </c:pt>
                <c:pt idx="546">
                  <c:v>-8.2254145816829063E-2</c:v>
                </c:pt>
                <c:pt idx="547">
                  <c:v>-8.0155782951527393E-2</c:v>
                </c:pt>
                <c:pt idx="548">
                  <c:v>-7.880021667511547E-2</c:v>
                </c:pt>
                <c:pt idx="549">
                  <c:v>-7.8185688703482373E-2</c:v>
                </c:pt>
                <c:pt idx="550">
                  <c:v>-7.8310526522649165E-2</c:v>
                </c:pt>
                <c:pt idx="551">
                  <c:v>-7.9173120435265379E-2</c:v>
                </c:pt>
                <c:pt idx="552">
                  <c:v>-8.0771900438084798E-2</c:v>
                </c:pt>
                <c:pt idx="553">
                  <c:v>-8.3105313446092482E-2</c:v>
                </c:pt>
                <c:pt idx="554">
                  <c:v>-8.6171801360299213E-2</c:v>
                </c:pt>
                <c:pt idx="555">
                  <c:v>-8.9969780411847222E-2</c:v>
                </c:pt>
                <c:pt idx="556">
                  <c:v>-9.449762211716517E-2</c:v>
                </c:pt>
                <c:pt idx="557">
                  <c:v>-9.9753636064412399E-2</c:v>
                </c:pt>
                <c:pt idx="558">
                  <c:v>-0.10573605463740939</c:v>
                </c:pt>
                <c:pt idx="559">
                  <c:v>-0.11244301968304118</c:v>
                </c:pt>
                <c:pt idx="560">
                  <c:v>-0.1198725710495909</c:v>
                </c:pt>
                <c:pt idx="561">
                  <c:v>-0.128022636869041</c:v>
                </c:pt>
                <c:pt idx="562">
                  <c:v>-0.13689102542440262</c:v>
                </c:pt>
                <c:pt idx="563">
                  <c:v>-0.14647541842957507</c:v>
                </c:pt>
                <c:pt idx="564">
                  <c:v>-0.1567733655492875</c:v>
                </c:pt>
                <c:pt idx="565">
                  <c:v>-0.16778227999573705</c:v>
                </c:pt>
                <c:pt idx="566">
                  <c:v>-0.17949943505282631</c:v>
                </c:pt>
                <c:pt idx="567">
                  <c:v>-0.19192196139557899</c:v>
                </c:pt>
                <c:pt idx="568">
                  <c:v>-0.20504684508942903</c:v>
                </c:pt>
                <c:pt idx="569">
                  <c:v>-0.2188709261704315</c:v>
                </c:pt>
                <c:pt idx="570">
                  <c:v>-0.23339089772236504</c:v>
                </c:pt>
                <c:pt idx="571">
                  <c:v>-0.24860330537988859</c:v>
                </c:pt>
                <c:pt idx="572">
                  <c:v>-0.26450454719832905</c:v>
                </c:pt>
                <c:pt idx="573">
                  <c:v>-0.28109087384039827</c:v>
                </c:pt>
                <c:pt idx="574">
                  <c:v>-0.29835838903831302</c:v>
                </c:pt>
                <c:pt idx="575">
                  <c:v>-0.31630305029662881</c:v>
                </c:pt>
                <c:pt idx="576">
                  <c:v>-0.33492066980675689</c:v>
                </c:pt>
                <c:pt idx="577">
                  <c:v>-0.35420691554883105</c:v>
                </c:pt>
                <c:pt idx="578">
                  <c:v>-0.37415731256044155</c:v>
                </c:pt>
                <c:pt idx="579">
                  <c:v>-0.3947672443549437</c:v>
                </c:pt>
                <c:pt idx="580">
                  <c:v>-0.41603195447465641</c:v>
                </c:pt>
                <c:pt idx="581">
                  <c:v>-0.43794654816642625</c:v>
                </c:pt>
                <c:pt idx="582">
                  <c:v>-0.46050599416879112</c:v>
                </c:pt>
                <c:pt idx="583">
                  <c:v>-0.48370512660144976</c:v>
                </c:pt>
                <c:pt idx="584">
                  <c:v>-0.50753864694893058</c:v>
                </c:pt>
                <c:pt idx="585">
                  <c:v>-0.53200112613136696</c:v>
                </c:pt>
                <c:pt idx="586">
                  <c:v>-0.55708700665607869</c:v>
                </c:pt>
                <c:pt idx="587">
                  <c:v>-0.5827906048443694</c:v>
                </c:pt>
                <c:pt idx="588">
                  <c:v>-0.60910611312849317</c:v>
                </c:pt>
                <c:pt idx="589">
                  <c:v>-0.6360276024142214</c:v>
                </c:pt>
                <c:pt idx="590">
                  <c:v>-0.66354902450483122</c:v>
                </c:pt>
                <c:pt idx="591">
                  <c:v>-0.69166421458266703</c:v>
                </c:pt>
                <c:pt idx="592">
                  <c:v>-0.72036689374468788</c:v>
                </c:pt>
                <c:pt idx="593">
                  <c:v>-0.74965067158866283</c:v>
                </c:pt>
                <c:pt idx="594">
                  <c:v>-0.77950904884684857</c:v>
                </c:pt>
                <c:pt idx="595">
                  <c:v>-0.80993542006416464</c:v>
                </c:pt>
                <c:pt idx="596">
                  <c:v>-0.84092307631800411</c:v>
                </c:pt>
                <c:pt idx="597">
                  <c:v>-0.87246520797695126</c:v>
                </c:pt>
                <c:pt idx="598">
                  <c:v>-0.9045549074957635</c:v>
                </c:pt>
                <c:pt idx="599">
                  <c:v>-0.93718517224406894</c:v>
                </c:pt>
                <c:pt idx="600">
                  <c:v>-0.97034890736631008</c:v>
                </c:pt>
                <c:pt idx="601">
                  <c:v>-1.0040389286705127</c:v>
                </c:pt>
                <c:pt idx="602">
                  <c:v>-1.0382479655435384</c:v>
                </c:pt>
                <c:pt idx="603">
                  <c:v>-1.0729686638905143</c:v>
                </c:pt>
                <c:pt idx="604">
                  <c:v>-1.108193589096174</c:v>
                </c:pt>
                <c:pt idx="605">
                  <c:v>-1.1439152290059145</c:v>
                </c:pt>
                <c:pt idx="606">
                  <c:v>-1.1801259969243676</c:v>
                </c:pt>
                <c:pt idx="607">
                  <c:v>-1.2168182346293577</c:v>
                </c:pt>
                <c:pt idx="608">
                  <c:v>-1.2539842153991312</c:v>
                </c:pt>
                <c:pt idx="609">
                  <c:v>-1.2916161470507748</c:v>
                </c:pt>
                <c:pt idx="610">
                  <c:v>-1.3297061749877732</c:v>
                </c:pt>
                <c:pt idx="611">
                  <c:v>-1.3682463852546907</c:v>
                </c:pt>
                <c:pt idx="612">
                  <c:v>-1.4072288075969781</c:v>
                </c:pt>
                <c:pt idx="613">
                  <c:v>-1.4466454185239364</c:v>
                </c:pt>
                <c:pt idx="614">
                  <c:v>-1.4864881443729154</c:v>
                </c:pt>
                <c:pt idx="615">
                  <c:v>-1.5267488643728206</c:v>
                </c:pt>
                <c:pt idx="616">
                  <c:v>-1.567419413705061</c:v>
                </c:pt>
                <c:pt idx="617">
                  <c:v>-1.6084915865600709</c:v>
                </c:pt>
                <c:pt idx="618">
                  <c:v>-1.6499571391876096</c:v>
                </c:pt>
                <c:pt idx="619">
                  <c:v>-1.691807792939011</c:v>
                </c:pt>
                <c:pt idx="620">
                  <c:v>-1.7340352372996397</c:v>
                </c:pt>
                <c:pt idx="621">
                  <c:v>-1.7766311329098272</c:v>
                </c:pt>
                <c:pt idx="622">
                  <c:v>-1.8195871145725619</c:v>
                </c:pt>
                <c:pt idx="623">
                  <c:v>-1.8628947942462846</c:v>
                </c:pt>
                <c:pt idx="624">
                  <c:v>-1.9065457640211458</c:v>
                </c:pt>
                <c:pt idx="625">
                  <c:v>-1.9505315990771168</c:v>
                </c:pt>
                <c:pt idx="626">
                  <c:v>-1.9948438606223864</c:v>
                </c:pt>
                <c:pt idx="627">
                  <c:v>-2.0394740988105227</c:v>
                </c:pt>
                <c:pt idx="628">
                  <c:v>-2.084413855634859</c:v>
                </c:pt>
                <c:pt idx="629">
                  <c:v>-2.1296546677987043</c:v>
                </c:pt>
                <c:pt idx="630">
                  <c:v>-2.1751880695598866</c:v>
                </c:pt>
                <c:pt idx="631">
                  <c:v>-2.2210055955482746</c:v>
                </c:pt>
                <c:pt idx="632">
                  <c:v>-2.2670987835549363</c:v>
                </c:pt>
                <c:pt idx="633">
                  <c:v>-2.313459177291572</c:v>
                </c:pt>
                <c:pt idx="634">
                  <c:v>-2.3600783291190144</c:v>
                </c:pt>
                <c:pt idx="635">
                  <c:v>-2.4069478027434914</c:v>
                </c:pt>
                <c:pt idx="636">
                  <c:v>-2.4540591758795176</c:v>
                </c:pt>
                <c:pt idx="637">
                  <c:v>-2.5014040428782098</c:v>
                </c:pt>
                <c:pt idx="638">
                  <c:v>-2.5489740173199555</c:v>
                </c:pt>
                <c:pt idx="639">
                  <c:v>-2.5967607345703239</c:v>
                </c:pt>
                <c:pt idx="640">
                  <c:v>-2.6447558542982113</c:v>
                </c:pt>
                <c:pt idx="641">
                  <c:v>-2.6929510629552151</c:v>
                </c:pt>
                <c:pt idx="642">
                  <c:v>-2.7413380762153032</c:v>
                </c:pt>
                <c:pt idx="643">
                  <c:v>-2.7899086413738665</c:v>
                </c:pt>
                <c:pt idx="644">
                  <c:v>-2.8386545397052805</c:v>
                </c:pt>
                <c:pt idx="645">
                  <c:v>-2.8875675887781558</c:v>
                </c:pt>
                <c:pt idx="646">
                  <c:v>-2.9366396447275158</c:v>
                </c:pt>
                <c:pt idx="647">
                  <c:v>-2.9858626044831449</c:v>
                </c:pt>
                <c:pt idx="648">
                  <c:v>-3.0352284079534089</c:v>
                </c:pt>
                <c:pt idx="649">
                  <c:v>-3.0847290401639089</c:v>
                </c:pt>
                <c:pt idx="650">
                  <c:v>-3.1343565333503509</c:v>
                </c:pt>
                <c:pt idx="651">
                  <c:v>-3.1841029690050515</c:v>
                </c:pt>
                <c:pt idx="652">
                  <c:v>-3.2339604798765631</c:v>
                </c:pt>
                <c:pt idx="653">
                  <c:v>-3.2839212519219343</c:v>
                </c:pt>
                <c:pt idx="654">
                  <c:v>-3.3339775262111431</c:v>
                </c:pt>
                <c:pt idx="655">
                  <c:v>-3.384121600783323</c:v>
                </c:pt>
                <c:pt idx="656">
                  <c:v>-3.4343458324543841</c:v>
                </c:pt>
                <c:pt idx="657">
                  <c:v>-3.4846426385757381</c:v>
                </c:pt>
                <c:pt idx="658">
                  <c:v>-3.5350044987438309</c:v>
                </c:pt>
                <c:pt idx="659">
                  <c:v>-3.5854239564602279</c:v>
                </c:pt>
                <c:pt idx="660">
                  <c:v>-3.6358936207420482</c:v>
                </c:pt>
                <c:pt idx="661">
                  <c:v>-3.686406167682609</c:v>
                </c:pt>
                <c:pt idx="662">
                  <c:v>-3.7369543419620825</c:v>
                </c:pt>
                <c:pt idx="663">
                  <c:v>-3.7875309583081731</c:v>
                </c:pt>
                <c:pt idx="664">
                  <c:v>-3.8381289029066528</c:v>
                </c:pt>
                <c:pt idx="665">
                  <c:v>-3.888741134761788</c:v>
                </c:pt>
                <c:pt idx="666">
                  <c:v>-3.9393606870067073</c:v>
                </c:pt>
                <c:pt idx="667">
                  <c:v>-3.9899806681636569</c:v>
                </c:pt>
                <c:pt idx="668">
                  <c:v>-4.0405942633543477</c:v>
                </c:pt>
                <c:pt idx="669">
                  <c:v>-4.0911947354604132</c:v>
                </c:pt>
                <c:pt idx="670">
                  <c:v>-4.1417754262341901</c:v>
                </c:pt>
                <c:pt idx="671">
                  <c:v>-4.1923297573599712</c:v>
                </c:pt>
                <c:pt idx="672">
                  <c:v>-4.2428512314659557</c:v>
                </c:pt>
                <c:pt idx="673">
                  <c:v>-4.2933334330871258</c:v>
                </c:pt>
                <c:pt idx="674">
                  <c:v>-4.3437700295793595</c:v>
                </c:pt>
                <c:pt idx="675">
                  <c:v>-4.3941547719850247</c:v>
                </c:pt>
                <c:pt idx="676">
                  <c:v>-4.4444814958504315</c:v>
                </c:pt>
                <c:pt idx="677">
                  <c:v>-4.494744121995466</c:v>
                </c:pt>
                <c:pt idx="678">
                  <c:v>-4.5449366572358247</c:v>
                </c:pt>
                <c:pt idx="679">
                  <c:v>-4.5950531950582052</c:v>
                </c:pt>
                <c:pt idx="680">
                  <c:v>-4.6450879162489409</c:v>
                </c:pt>
                <c:pt idx="681">
                  <c:v>-4.6950350894764998</c:v>
                </c:pt>
                <c:pt idx="682">
                  <c:v>-4.7448890718283279</c:v>
                </c:pt>
                <c:pt idx="683">
                  <c:v>-4.7946443093025684</c:v>
                </c:pt>
                <c:pt idx="684">
                  <c:v>-4.8442953372551347</c:v>
                </c:pt>
                <c:pt idx="685">
                  <c:v>-4.8938367808027126</c:v>
                </c:pt>
                <c:pt idx="686">
                  <c:v>-4.9432633551822418</c:v>
                </c:pt>
                <c:pt idx="687">
                  <c:v>-4.9925698660674529</c:v>
                </c:pt>
                <c:pt idx="688">
                  <c:v>-5.0417512098430768</c:v>
                </c:pt>
                <c:pt idx="689">
                  <c:v>-5.090802373837291</c:v>
                </c:pt>
                <c:pt idx="690">
                  <c:v>-5.1397184365131077</c:v>
                </c:pt>
                <c:pt idx="691">
                  <c:v>-5.1884945676192906</c:v>
                </c:pt>
                <c:pt idx="692">
                  <c:v>-5.237126028301474</c:v>
                </c:pt>
                <c:pt idx="693">
                  <c:v>-5.28560817117416</c:v>
                </c:pt>
                <c:pt idx="694">
                  <c:v>-5.3339364403543046</c:v>
                </c:pt>
                <c:pt idx="695">
                  <c:v>-5.3821063714571293</c:v>
                </c:pt>
                <c:pt idx="696">
                  <c:v>-5.4301135915549255</c:v>
                </c:pt>
                <c:pt idx="697">
                  <c:v>-5.4779538190995423</c:v>
                </c:pt>
                <c:pt idx="698">
                  <c:v>-5.525622863809275</c:v>
                </c:pt>
                <c:pt idx="699">
                  <c:v>-5.5731166265209238</c:v>
                </c:pt>
                <c:pt idx="700">
                  <c:v>-5.6204310990077255</c:v>
                </c:pt>
                <c:pt idx="701">
                  <c:v>-5.6675623637639205</c:v>
                </c:pt>
                <c:pt idx="702">
                  <c:v>-5.7145065937567407</c:v>
                </c:pt>
                <c:pt idx="703">
                  <c:v>-5.7612600521465502</c:v>
                </c:pt>
                <c:pt idx="704">
                  <c:v>-5.8078190919758725</c:v>
                </c:pt>
                <c:pt idx="705">
                  <c:v>-5.8541801558281685</c:v>
                </c:pt>
                <c:pt idx="706">
                  <c:v>-5.9003397754570344</c:v>
                </c:pt>
                <c:pt idx="707">
                  <c:v>-5.9462945713866553</c:v>
                </c:pt>
                <c:pt idx="708">
                  <c:v>-5.9920412524842739</c:v>
                </c:pt>
                <c:pt idx="709">
                  <c:v>-6.0375766155054711</c:v>
                </c:pt>
                <c:pt idx="710">
                  <c:v>-6.082897544612992</c:v>
                </c:pt>
                <c:pt idx="711">
                  <c:v>-6.1280010108699443</c:v>
                </c:pt>
                <c:pt idx="712">
                  <c:v>-6.1728840717081077</c:v>
                </c:pt>
                <c:pt idx="713">
                  <c:v>-6.2175438703721779</c:v>
                </c:pt>
                <c:pt idx="714">
                  <c:v>-6.2619776353406644</c:v>
                </c:pt>
                <c:pt idx="715">
                  <c:v>-6.3061826797242446</c:v>
                </c:pt>
                <c:pt idx="716">
                  <c:v>-6.350156400642355</c:v>
                </c:pt>
                <c:pt idx="717">
                  <c:v>-6.3938962785787439</c:v>
                </c:pt>
                <c:pt idx="718">
                  <c:v>-6.437399876716789</c:v>
                </c:pt>
                <c:pt idx="719">
                  <c:v>-6.4806648402553124</c:v>
                </c:pt>
                <c:pt idx="720">
                  <c:v>-6.5236888957056482</c:v>
                </c:pt>
                <c:pt idx="721">
                  <c:v>-6.5664698501707157</c:v>
                </c:pt>
                <c:pt idx="722">
                  <c:v>-6.6090055906068237</c:v>
                </c:pt>
                <c:pt idx="723">
                  <c:v>-6.6512940830689669</c:v>
                </c:pt>
                <c:pt idx="724">
                  <c:v>-6.6933333719403008</c:v>
                </c:pt>
                <c:pt idx="725">
                  <c:v>-6.7351215791465595</c:v>
                </c:pt>
                <c:pt idx="726">
                  <c:v>-6.7766569033560824</c:v>
                </c:pt>
                <c:pt idx="727">
                  <c:v>-6.8179376191662131</c:v>
                </c:pt>
                <c:pt idx="728">
                  <c:v>-6.8589620762766916</c:v>
                </c:pt>
                <c:pt idx="729">
                  <c:v>-6.8997286986508017</c:v>
                </c:pt>
                <c:pt idx="730">
                  <c:v>-6.9402359836648975</c:v>
                </c:pt>
                <c:pt idx="731">
                  <c:v>-6.9804825012470024</c:v>
                </c:pt>
                <c:pt idx="732">
                  <c:v>-7.0204668930051568</c:v>
                </c:pt>
                <c:pt idx="733">
                  <c:v>-7.0601878713461108</c:v>
                </c:pt>
                <c:pt idx="734">
                  <c:v>-7.0996442185850741</c:v>
                </c:pt>
                <c:pt idx="735">
                  <c:v>-7.1388347860470844</c:v>
                </c:pt>
                <c:pt idx="736">
                  <c:v>-7.1777584931606926</c:v>
                </c:pt>
                <c:pt idx="737">
                  <c:v>-7.2164143265444718</c:v>
                </c:pt>
                <c:pt idx="738">
                  <c:v>-7.2548013390870496</c:v>
                </c:pt>
                <c:pt idx="739">
                  <c:v>-7.2929186490212157</c:v>
                </c:pt>
                <c:pt idx="740">
                  <c:v>-7.3307654389926045</c:v>
                </c:pt>
                <c:pt idx="741">
                  <c:v>-7.3683409551237062</c:v>
                </c:pt>
                <c:pt idx="742">
                  <c:v>-7.4056445060735498</c:v>
                </c:pt>
                <c:pt idx="743">
                  <c:v>-7.4426754620937237</c:v>
                </c:pt>
                <c:pt idx="744">
                  <c:v>-7.4794332540812549</c:v>
                </c:pt>
                <c:pt idx="745">
                  <c:v>-7.5159173726288442</c:v>
                </c:pt>
                <c:pt idx="746">
                  <c:v>-7.5521273670729823</c:v>
                </c:pt>
                <c:pt idx="747">
                  <c:v>-7.5880628445404019</c:v>
                </c:pt>
                <c:pt idx="748">
                  <c:v>-7.6237234689934352</c:v>
                </c:pt>
                <c:pt idx="749">
                  <c:v>-7.6591089602746756</c:v>
                </c:pt>
                <c:pt idx="750">
                  <c:v>-7.6942190931514034</c:v>
                </c:pt>
                <c:pt idx="751">
                  <c:v>-7.729053696360352</c:v>
                </c:pt>
                <c:pt idx="752">
                  <c:v>-7.7636126516530233</c:v>
                </c:pt>
                <c:pt idx="753">
                  <c:v>-7.7978958928422273</c:v>
                </c:pt>
                <c:pt idx="754">
                  <c:v>-7.8319034048500837</c:v>
                </c:pt>
                <c:pt idx="755">
                  <c:v>-7.8656352227579784</c:v>
                </c:pt>
                <c:pt idx="756">
                  <c:v>-7.8990914308588209</c:v>
                </c:pt>
                <c:pt idx="757">
                  <c:v>-7.9322721617120342</c:v>
                </c:pt>
                <c:pt idx="758">
                  <c:v>-7.9651775952015926</c:v>
                </c:pt>
                <c:pt idx="759">
                  <c:v>-7.9978079575975043</c:v>
                </c:pt>
                <c:pt idx="760">
                  <c:v>-8.0301635206210413</c:v>
                </c:pt>
                <c:pt idx="761">
                  <c:v>-8.0622446005141271</c:v>
                </c:pt>
                <c:pt idx="762">
                  <c:v>-8.0940515571131186</c:v>
                </c:pt>
                <c:pt idx="763">
                  <c:v>-8.1255847929273468</c:v>
                </c:pt>
                <c:pt idx="764">
                  <c:v>-8.1568447522227334</c:v>
                </c:pt>
                <c:pt idx="765">
                  <c:v>-8.1878319201107033</c:v>
                </c:pt>
                <c:pt idx="766">
                  <c:v>-8.2185468216427449</c:v>
                </c:pt>
                <c:pt idx="767">
                  <c:v>-8.248990020910874</c:v>
                </c:pt>
                <c:pt idx="768">
                  <c:v>-8.2791621201542043</c:v>
                </c:pt>
                <c:pt idx="769">
                  <c:v>-8.3090637588719662</c:v>
                </c:pt>
                <c:pt idx="770">
                  <c:v>-8.3386956129431145</c:v>
                </c:pt>
                <c:pt idx="771">
                  <c:v>-8.3680583937528397</c:v>
                </c:pt>
                <c:pt idx="772">
                  <c:v>-8.3971528473261312</c:v>
                </c:pt>
                <c:pt idx="773">
                  <c:v>-8.4259797534686545</c:v>
                </c:pt>
                <c:pt idx="774">
                  <c:v>-8.4545399249151121</c:v>
                </c:pt>
                <c:pt idx="775">
                  <c:v>-8.4828342064852702</c:v>
                </c:pt>
                <c:pt idx="776">
                  <c:v>-8.4828621910267241</c:v>
                </c:pt>
                <c:pt idx="777">
                  <c:v>-8.4828901753060943</c:v>
                </c:pt>
                <c:pt idx="778">
                  <c:v>-8.4829181593233844</c:v>
                </c:pt>
                <c:pt idx="779">
                  <c:v>-8.4829461430785997</c:v>
                </c:pt>
                <c:pt idx="780">
                  <c:v>-8.4829741265717402</c:v>
                </c:pt>
                <c:pt idx="781">
                  <c:v>-8.4830021098028041</c:v>
                </c:pt>
                <c:pt idx="782">
                  <c:v>-8.4830300927717968</c:v>
                </c:pt>
                <c:pt idx="783">
                  <c:v>-8.4830580754787057</c:v>
                </c:pt>
                <c:pt idx="784">
                  <c:v>-8.4830860579235488</c:v>
                </c:pt>
                <c:pt idx="785">
                  <c:v>-8.483114040106317</c:v>
                </c:pt>
                <c:pt idx="786">
                  <c:v>-8.4831420220270157</c:v>
                </c:pt>
                <c:pt idx="787">
                  <c:v>-8.4831700036856379</c:v>
                </c:pt>
                <c:pt idx="788">
                  <c:v>-8.4831979850821924</c:v>
                </c:pt>
                <c:pt idx="789">
                  <c:v>-8.4832259662166809</c:v>
                </c:pt>
                <c:pt idx="790">
                  <c:v>-8.4832539470891071</c:v>
                </c:pt>
                <c:pt idx="791">
                  <c:v>-8.4832819276994567</c:v>
                </c:pt>
                <c:pt idx="792">
                  <c:v>-8.4833099080477403</c:v>
                </c:pt>
                <c:pt idx="793">
                  <c:v>-8.4833378881339634</c:v>
                </c:pt>
                <c:pt idx="794">
                  <c:v>-8.4833658679581259</c:v>
                </c:pt>
                <c:pt idx="795">
                  <c:v>-8.4833938475202189</c:v>
                </c:pt>
                <c:pt idx="796">
                  <c:v>-8.4834218268202459</c:v>
                </c:pt>
                <c:pt idx="797">
                  <c:v>-8.4834498058582177</c:v>
                </c:pt>
                <c:pt idx="798">
                  <c:v>-8.4834777846341254</c:v>
                </c:pt>
                <c:pt idx="799">
                  <c:v>-8.4835057631479724</c:v>
                </c:pt>
                <c:pt idx="800">
                  <c:v>-8.4835337413997607</c:v>
                </c:pt>
                <c:pt idx="801">
                  <c:v>-8.4835617193894937</c:v>
                </c:pt>
                <c:pt idx="802">
                  <c:v>-8.4835896971171678</c:v>
                </c:pt>
                <c:pt idx="803">
                  <c:v>-8.4836176745827849</c:v>
                </c:pt>
                <c:pt idx="804">
                  <c:v>-8.483645651786345</c:v>
                </c:pt>
                <c:pt idx="805">
                  <c:v>-8.4836736287278551</c:v>
                </c:pt>
                <c:pt idx="806">
                  <c:v>-8.4837016054073118</c:v>
                </c:pt>
                <c:pt idx="807">
                  <c:v>-8.4837295818247096</c:v>
                </c:pt>
                <c:pt idx="808">
                  <c:v>-8.4837575579800628</c:v>
                </c:pt>
                <c:pt idx="809">
                  <c:v>-8.4837855338733625</c:v>
                </c:pt>
                <c:pt idx="810">
                  <c:v>-8.4838135095046052</c:v>
                </c:pt>
                <c:pt idx="811">
                  <c:v>-8.4838414848738068</c:v>
                </c:pt>
                <c:pt idx="812">
                  <c:v>-8.4838694599809603</c:v>
                </c:pt>
                <c:pt idx="813">
                  <c:v>-8.4838974348260603</c:v>
                </c:pt>
                <c:pt idx="814">
                  <c:v>-8.4839254094091192</c:v>
                </c:pt>
                <c:pt idx="815">
                  <c:v>-8.4839533837301246</c:v>
                </c:pt>
                <c:pt idx="816">
                  <c:v>-8.4839813577890943</c:v>
                </c:pt>
                <c:pt idx="817">
                  <c:v>-8.4840093315860177</c:v>
                </c:pt>
                <c:pt idx="818">
                  <c:v>-8.4840373051208946</c:v>
                </c:pt>
                <c:pt idx="819">
                  <c:v>-8.4840652783937269</c:v>
                </c:pt>
                <c:pt idx="820">
                  <c:v>-8.4840932514045218</c:v>
                </c:pt>
                <c:pt idx="821">
                  <c:v>-8.4841212241532791</c:v>
                </c:pt>
                <c:pt idx="822">
                  <c:v>-8.4841491966399936</c:v>
                </c:pt>
                <c:pt idx="823">
                  <c:v>-8.4841771688646652</c:v>
                </c:pt>
                <c:pt idx="824">
                  <c:v>-8.4842051408273083</c:v>
                </c:pt>
                <c:pt idx="825">
                  <c:v>-8.4842331125279085</c:v>
                </c:pt>
                <c:pt idx="826">
                  <c:v>-8.4842610839664729</c:v>
                </c:pt>
                <c:pt idx="827">
                  <c:v>-8.4842890551430088</c:v>
                </c:pt>
                <c:pt idx="828">
                  <c:v>-8.4843170260575018</c:v>
                </c:pt>
                <c:pt idx="829">
                  <c:v>-8.4843449967099627</c:v>
                </c:pt>
                <c:pt idx="830">
                  <c:v>-8.4843729671003913</c:v>
                </c:pt>
                <c:pt idx="831">
                  <c:v>-8.4844009372287914</c:v>
                </c:pt>
                <c:pt idx="832">
                  <c:v>-8.4844289070951611</c:v>
                </c:pt>
                <c:pt idx="833">
                  <c:v>-8.4844568766995021</c:v>
                </c:pt>
                <c:pt idx="834">
                  <c:v>-8.4844848460418092</c:v>
                </c:pt>
                <c:pt idx="835">
                  <c:v>-8.4845128151220894</c:v>
                </c:pt>
                <c:pt idx="836">
                  <c:v>-8.4845407839403482</c:v>
                </c:pt>
                <c:pt idx="837">
                  <c:v>-8.4845687524965747</c:v>
                </c:pt>
                <c:pt idx="838">
                  <c:v>-8.4845967207907798</c:v>
                </c:pt>
                <c:pt idx="839">
                  <c:v>-8.4846246888229579</c:v>
                </c:pt>
                <c:pt idx="840">
                  <c:v>-8.4846526565931164</c:v>
                </c:pt>
                <c:pt idx="841">
                  <c:v>-8.4846806241012462</c:v>
                </c:pt>
                <c:pt idx="842">
                  <c:v>-8.4847085913473546</c:v>
                </c:pt>
                <c:pt idx="843">
                  <c:v>-8.4847365583314485</c:v>
                </c:pt>
                <c:pt idx="844">
                  <c:v>-8.4847645250535173</c:v>
                </c:pt>
                <c:pt idx="845">
                  <c:v>-8.4847924915135682</c:v>
                </c:pt>
                <c:pt idx="846">
                  <c:v>-8.4848204577116011</c:v>
                </c:pt>
                <c:pt idx="847">
                  <c:v>-8.4848484236476196</c:v>
                </c:pt>
                <c:pt idx="848">
                  <c:v>-8.4848763893216148</c:v>
                </c:pt>
                <c:pt idx="849">
                  <c:v>-8.4849043547335992</c:v>
                </c:pt>
                <c:pt idx="850">
                  <c:v>-8.4849323198835691</c:v>
                </c:pt>
                <c:pt idx="851">
                  <c:v>-8.4849602847715229</c:v>
                </c:pt>
                <c:pt idx="852">
                  <c:v>-8.4849882493974622</c:v>
                </c:pt>
                <c:pt idx="853">
                  <c:v>-8.4850162137613943</c:v>
                </c:pt>
                <c:pt idx="854">
                  <c:v>-8.4850441778633137</c:v>
                </c:pt>
                <c:pt idx="855">
                  <c:v>-8.4850721417032222</c:v>
                </c:pt>
                <c:pt idx="856">
                  <c:v>-8.4851001052811199</c:v>
                </c:pt>
                <c:pt idx="857">
                  <c:v>-8.4851280685970121</c:v>
                </c:pt>
                <c:pt idx="858">
                  <c:v>-8.4851560316508916</c:v>
                </c:pt>
                <c:pt idx="859">
                  <c:v>-8.4851839944427709</c:v>
                </c:pt>
                <c:pt idx="860">
                  <c:v>-8.4852119569726447</c:v>
                </c:pt>
                <c:pt idx="861">
                  <c:v>-8.4852399192405041</c:v>
                </c:pt>
                <c:pt idx="862">
                  <c:v>-8.4852678812463669</c:v>
                </c:pt>
                <c:pt idx="863">
                  <c:v>-8.4852958429902277</c:v>
                </c:pt>
                <c:pt idx="864">
                  <c:v>-8.4853238044720829</c:v>
                </c:pt>
                <c:pt idx="865">
                  <c:v>-8.4853517656919362</c:v>
                </c:pt>
                <c:pt idx="866">
                  <c:v>-8.4853797266497946</c:v>
                </c:pt>
                <c:pt idx="867">
                  <c:v>-8.4854076873456439</c:v>
                </c:pt>
                <c:pt idx="868">
                  <c:v>-8.4854356477795001</c:v>
                </c:pt>
                <c:pt idx="869">
                  <c:v>-8.4854636079513579</c:v>
                </c:pt>
                <c:pt idx="870">
                  <c:v>-8.4854915678612244</c:v>
                </c:pt>
                <c:pt idx="871">
                  <c:v>-8.4855195275090924</c:v>
                </c:pt>
                <c:pt idx="872">
                  <c:v>-8.4855474868949567</c:v>
                </c:pt>
                <c:pt idx="873">
                  <c:v>-8.4855754460188333</c:v>
                </c:pt>
                <c:pt idx="874">
                  <c:v>-8.4856034048807185</c:v>
                </c:pt>
                <c:pt idx="875">
                  <c:v>-8.4856313634806071</c:v>
                </c:pt>
                <c:pt idx="876">
                  <c:v>-8.4856593218185079</c:v>
                </c:pt>
                <c:pt idx="877">
                  <c:v>-8.4856872798944156</c:v>
                </c:pt>
                <c:pt idx="878">
                  <c:v>-8.4857152377083302</c:v>
                </c:pt>
                <c:pt idx="879">
                  <c:v>-8.4857431952602571</c:v>
                </c:pt>
                <c:pt idx="880">
                  <c:v>-8.4857711525501998</c:v>
                </c:pt>
                <c:pt idx="881">
                  <c:v>-8.4857991095781582</c:v>
                </c:pt>
                <c:pt idx="882">
                  <c:v>-8.4858270663441253</c:v>
                </c:pt>
                <c:pt idx="883">
                  <c:v>-8.4858550228481064</c:v>
                </c:pt>
                <c:pt idx="884">
                  <c:v>-8.4858829790901016</c:v>
                </c:pt>
                <c:pt idx="885">
                  <c:v>-8.4859109350701196</c:v>
                </c:pt>
                <c:pt idx="886">
                  <c:v>-8.4859388907881481</c:v>
                </c:pt>
                <c:pt idx="887">
                  <c:v>-8.4859668462441977</c:v>
                </c:pt>
                <c:pt idx="888">
                  <c:v>-8.4859948014382649</c:v>
                </c:pt>
                <c:pt idx="889">
                  <c:v>-8.486022756370355</c:v>
                </c:pt>
                <c:pt idx="890">
                  <c:v>-8.4860507110404608</c:v>
                </c:pt>
                <c:pt idx="891">
                  <c:v>-8.4860786654485931</c:v>
                </c:pt>
                <c:pt idx="892">
                  <c:v>-8.4861066195947483</c:v>
                </c:pt>
                <c:pt idx="893">
                  <c:v>-8.4861345734789229</c:v>
                </c:pt>
                <c:pt idx="894">
                  <c:v>-8.4861625271011256</c:v>
                </c:pt>
                <c:pt idx="895">
                  <c:v>-8.4861904804613548</c:v>
                </c:pt>
                <c:pt idx="896">
                  <c:v>-8.4862184335596051</c:v>
                </c:pt>
                <c:pt idx="897">
                  <c:v>-8.4862463863958872</c:v>
                </c:pt>
                <c:pt idx="898">
                  <c:v>-8.4862743389701976</c:v>
                </c:pt>
                <c:pt idx="899">
                  <c:v>-8.4863022912825379</c:v>
                </c:pt>
                <c:pt idx="900">
                  <c:v>-8.4863302433329064</c:v>
                </c:pt>
                <c:pt idx="901">
                  <c:v>-8.4863581951213014</c:v>
                </c:pt>
                <c:pt idx="902">
                  <c:v>-8.4863861466477335</c:v>
                </c:pt>
                <c:pt idx="903">
                  <c:v>-8.4864140979121938</c:v>
                </c:pt>
                <c:pt idx="904">
                  <c:v>-8.4864420489146859</c:v>
                </c:pt>
                <c:pt idx="905">
                  <c:v>-8.4864699996552169</c:v>
                </c:pt>
                <c:pt idx="906">
                  <c:v>-8.4864979501337832</c:v>
                </c:pt>
                <c:pt idx="907">
                  <c:v>-8.486525900350383</c:v>
                </c:pt>
                <c:pt idx="908">
                  <c:v>-8.48655385030502</c:v>
                </c:pt>
                <c:pt idx="909">
                  <c:v>-8.4865817999976993</c:v>
                </c:pt>
                <c:pt idx="910">
                  <c:v>-8.4866097494284087</c:v>
                </c:pt>
                <c:pt idx="911">
                  <c:v>-8.4866376985971659</c:v>
                </c:pt>
                <c:pt idx="912">
                  <c:v>-8.4866656475039548</c:v>
                </c:pt>
                <c:pt idx="913">
                  <c:v>-8.4866935961487915</c:v>
                </c:pt>
                <c:pt idx="914">
                  <c:v>-8.4867215445316742</c:v>
                </c:pt>
                <c:pt idx="915">
                  <c:v>-8.4867494926525904</c:v>
                </c:pt>
                <c:pt idx="916">
                  <c:v>-8.4867774405115561</c:v>
                </c:pt>
                <c:pt idx="917">
                  <c:v>-8.4868053881085643</c:v>
                </c:pt>
                <c:pt idx="918">
                  <c:v>-8.4868333354436185</c:v>
                </c:pt>
                <c:pt idx="919">
                  <c:v>-8.4868612825167205</c:v>
                </c:pt>
                <c:pt idx="920">
                  <c:v>-8.4868892293278684</c:v>
                </c:pt>
                <c:pt idx="921">
                  <c:v>-8.4869171758770676</c:v>
                </c:pt>
                <c:pt idx="922">
                  <c:v>-8.4869451221643164</c:v>
                </c:pt>
                <c:pt idx="923">
                  <c:v>-8.4869730681896094</c:v>
                </c:pt>
                <c:pt idx="924">
                  <c:v>-8.487001013952959</c:v>
                </c:pt>
                <c:pt idx="925">
                  <c:v>-8.4870289594543618</c:v>
                </c:pt>
                <c:pt idx="926">
                  <c:v>-8.4870569046938122</c:v>
                </c:pt>
                <c:pt idx="927">
                  <c:v>-8.4870848496713176</c:v>
                </c:pt>
                <c:pt idx="928">
                  <c:v>-8.4871127943868814</c:v>
                </c:pt>
                <c:pt idx="929">
                  <c:v>-8.4871407388404982</c:v>
                </c:pt>
                <c:pt idx="930">
                  <c:v>-8.4871686830321735</c:v>
                </c:pt>
                <c:pt idx="931">
                  <c:v>-8.4871966269619055</c:v>
                </c:pt>
                <c:pt idx="932">
                  <c:v>-8.4872245706296905</c:v>
                </c:pt>
                <c:pt idx="933">
                  <c:v>-8.4872525140355428</c:v>
                </c:pt>
                <c:pt idx="934">
                  <c:v>-8.48728045717945</c:v>
                </c:pt>
                <c:pt idx="935">
                  <c:v>-8.487308400061421</c:v>
                </c:pt>
                <c:pt idx="936">
                  <c:v>-8.4873363426814503</c:v>
                </c:pt>
                <c:pt idx="937">
                  <c:v>-8.4873642850395434</c:v>
                </c:pt>
                <c:pt idx="938">
                  <c:v>-8.4873922271356967</c:v>
                </c:pt>
                <c:pt idx="939">
                  <c:v>-8.4874201689699174</c:v>
                </c:pt>
                <c:pt idx="940">
                  <c:v>-8.4874481105422053</c:v>
                </c:pt>
                <c:pt idx="941">
                  <c:v>-8.4874760518525569</c:v>
                </c:pt>
                <c:pt idx="942">
                  <c:v>-8.4875039929009741</c:v>
                </c:pt>
                <c:pt idx="943">
                  <c:v>-8.4875319336874604</c:v>
                </c:pt>
                <c:pt idx="944">
                  <c:v>-8.4875598742120157</c:v>
                </c:pt>
                <c:pt idx="945">
                  <c:v>-8.4875878144746419</c:v>
                </c:pt>
                <c:pt idx="946">
                  <c:v>-8.487615754475339</c:v>
                </c:pt>
                <c:pt idx="947">
                  <c:v>-8.4876436942141122</c:v>
                </c:pt>
                <c:pt idx="948">
                  <c:v>-8.4876716336909546</c:v>
                </c:pt>
                <c:pt idx="949">
                  <c:v>-8.4876995729058695</c:v>
                </c:pt>
                <c:pt idx="950">
                  <c:v>-8.4877275118588571</c:v>
                </c:pt>
                <c:pt idx="951">
                  <c:v>-8.4877554505499262</c:v>
                </c:pt>
                <c:pt idx="952">
                  <c:v>-8.4877833889790608</c:v>
                </c:pt>
                <c:pt idx="953">
                  <c:v>-8.4878113271462805</c:v>
                </c:pt>
                <c:pt idx="954">
                  <c:v>-8.4878392650515746</c:v>
                </c:pt>
                <c:pt idx="955">
                  <c:v>-8.4878672026949431</c:v>
                </c:pt>
                <c:pt idx="956">
                  <c:v>-8.4878951400764038</c:v>
                </c:pt>
                <c:pt idx="957">
                  <c:v>-8.4879230771959318</c:v>
                </c:pt>
                <c:pt idx="958">
                  <c:v>-8.4879510140535501</c:v>
                </c:pt>
                <c:pt idx="959">
                  <c:v>-8.4879789506492465</c:v>
                </c:pt>
                <c:pt idx="960">
                  <c:v>-8.4880068869830314</c:v>
                </c:pt>
                <c:pt idx="961">
                  <c:v>-8.4880348230548908</c:v>
                </c:pt>
                <c:pt idx="962">
                  <c:v>-8.4880627588648387</c:v>
                </c:pt>
                <c:pt idx="963">
                  <c:v>-8.4880906944128789</c:v>
                </c:pt>
                <c:pt idx="964">
                  <c:v>-8.4881186296989988</c:v>
                </c:pt>
                <c:pt idx="965">
                  <c:v>-8.4881465647232108</c:v>
                </c:pt>
                <c:pt idx="966">
                  <c:v>-8.4881744994855044</c:v>
                </c:pt>
                <c:pt idx="967">
                  <c:v>-8.4882024339858919</c:v>
                </c:pt>
                <c:pt idx="968">
                  <c:v>-8.4882303682243698</c:v>
                </c:pt>
                <c:pt idx="969">
                  <c:v>-8.4882583022009417</c:v>
                </c:pt>
                <c:pt idx="970">
                  <c:v>-8.4882862359156022</c:v>
                </c:pt>
                <c:pt idx="971">
                  <c:v>-8.4883141693683584</c:v>
                </c:pt>
                <c:pt idx="972">
                  <c:v>-8.4883421025592032</c:v>
                </c:pt>
                <c:pt idx="973">
                  <c:v>-8.4883700354881508</c:v>
                </c:pt>
                <c:pt idx="974">
                  <c:v>-8.4883979681551907</c:v>
                </c:pt>
                <c:pt idx="975">
                  <c:v>-8.4884259005603244</c:v>
                </c:pt>
                <c:pt idx="976">
                  <c:v>-8.4884538327035575</c:v>
                </c:pt>
                <c:pt idx="977">
                  <c:v>-8.488481764584888</c:v>
                </c:pt>
                <c:pt idx="978">
                  <c:v>-8.4885096962043161</c:v>
                </c:pt>
                <c:pt idx="979">
                  <c:v>-8.4885376275618398</c:v>
                </c:pt>
                <c:pt idx="980">
                  <c:v>-8.4885655586574789</c:v>
                </c:pt>
                <c:pt idx="981">
                  <c:v>-8.4885934894912065</c:v>
                </c:pt>
                <c:pt idx="982">
                  <c:v>-8.4886214200630388</c:v>
                </c:pt>
                <c:pt idx="983">
                  <c:v>-8.4886493503729774</c:v>
                </c:pt>
                <c:pt idx="984">
                  <c:v>-8.488677280421026</c:v>
                </c:pt>
                <c:pt idx="985">
                  <c:v>-8.4887052102071774</c:v>
                </c:pt>
                <c:pt idx="986">
                  <c:v>-8.4887331397314316</c:v>
                </c:pt>
                <c:pt idx="987">
                  <c:v>-8.488761068993794</c:v>
                </c:pt>
                <c:pt idx="988">
                  <c:v>-8.4887889979942699</c:v>
                </c:pt>
                <c:pt idx="989">
                  <c:v>-8.4888169267328468</c:v>
                </c:pt>
                <c:pt idx="990">
                  <c:v>-8.488844855209539</c:v>
                </c:pt>
                <c:pt idx="991">
                  <c:v>-8.4888727834243394</c:v>
                </c:pt>
                <c:pt idx="992">
                  <c:v>-8.4889007113772461</c:v>
                </c:pt>
                <c:pt idx="993">
                  <c:v>-8.488928639068277</c:v>
                </c:pt>
                <c:pt idx="994">
                  <c:v>-8.4889565664974143</c:v>
                </c:pt>
                <c:pt idx="995">
                  <c:v>-8.4889844936646668</c:v>
                </c:pt>
                <c:pt idx="996">
                  <c:v>-8.4890124205700381</c:v>
                </c:pt>
                <c:pt idx="997">
                  <c:v>-8.4890403472135212</c:v>
                </c:pt>
                <c:pt idx="998">
                  <c:v>-8.4890682735951231</c:v>
                </c:pt>
                <c:pt idx="999">
                  <c:v>-8.4890961997148437</c:v>
                </c:pt>
                <c:pt idx="1000">
                  <c:v>-8.4891241255726779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C-DF48-ADA1-B093CE44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53360"/>
        <c:axId val="1"/>
      </c:scatterChart>
      <c:valAx>
        <c:axId val="1805953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Accélérations [m/s²]_</a:t>
                </a:r>
              </a:p>
            </c:rich>
          </c:tx>
          <c:layout>
            <c:manualLayout>
              <c:xMode val="edge"/>
              <c:yMode val="edge"/>
              <c:x val="2.7122641509433963E-2"/>
              <c:y val="0.297386526684164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53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91258030774126"/>
          <c:y val="0.25214561439489114"/>
          <c:w val="0.28593070606586024"/>
          <c:h val="0.153851561325696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Positions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3856444854360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Courbes!$B$144</c:f>
              <c:strCache>
                <c:ptCount val="1"/>
                <c:pt idx="0">
                  <c:v>Portée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1.1575008333550919E-5</c:v>
                </c:pt>
                <c:pt idx="2">
                  <c:v>1.5465489219880008E-4</c:v>
                </c:pt>
                <c:pt idx="3">
                  <c:v>6.4602359700519411E-4</c:v>
                </c:pt>
                <c:pt idx="4">
                  <c:v>1.7026534988934978E-3</c:v>
                </c:pt>
                <c:pt idx="5">
                  <c:v>3.5417848542089146E-3</c:v>
                </c:pt>
                <c:pt idx="6">
                  <c:v>6.3260476542593772E-3</c:v>
                </c:pt>
                <c:pt idx="7">
                  <c:v>1.0108416120635464E-2</c:v>
                </c:pt>
                <c:pt idx="8">
                  <c:v>1.4886966115561714E-2</c:v>
                </c:pt>
                <c:pt idx="9">
                  <c:v>2.0659760456411769E-2</c:v>
                </c:pt>
                <c:pt idx="10">
                  <c:v>2.7424848953685237E-2</c:v>
                </c:pt>
                <c:pt idx="11">
                  <c:v>3.5180268449625525E-2</c:v>
                </c:pt>
                <c:pt idx="12">
                  <c:v>4.3924042857475185E-2</c:v>
                </c:pt>
                <c:pt idx="13">
                  <c:v>5.3654183201365099E-2</c:v>
                </c:pt>
                <c:pt idx="14">
                  <c:v>6.4368687656833928E-2</c:v>
                </c:pt>
                <c:pt idx="15">
                  <c:v>7.6065541591974054E-2</c:v>
                </c:pt>
                <c:pt idx="16">
                  <c:v>8.8742717609200189E-2</c:v>
                </c:pt>
                <c:pt idx="17">
                  <c:v>0.10239817558763686</c:v>
                </c:pt>
                <c:pt idx="18">
                  <c:v>0.11702986272612073</c:v>
                </c:pt>
                <c:pt idx="19">
                  <c:v>0.13263571358681378</c:v>
                </c:pt>
                <c:pt idx="20">
                  <c:v>0.14921365013942328</c:v>
                </c:pt>
                <c:pt idx="21">
                  <c:v>0.16676158180602449</c:v>
                </c:pt>
                <c:pt idx="22">
                  <c:v>0.18527740550648159</c:v>
                </c:pt>
                <c:pt idx="23">
                  <c:v>0.20475900570446287</c:v>
                </c:pt>
                <c:pt idx="24">
                  <c:v>0.22520425445404574</c:v>
                </c:pt>
                <c:pt idx="25">
                  <c:v>0.246611011446907</c:v>
                </c:pt>
                <c:pt idx="26">
                  <c:v>0.268977124060094</c:v>
                </c:pt>
                <c:pt idx="27">
                  <c:v>0.29230042740437223</c:v>
                </c:pt>
                <c:pt idx="28">
                  <c:v>0.3165787443731447</c:v>
                </c:pt>
                <c:pt idx="29">
                  <c:v>0.3418098856919381</c:v>
                </c:pt>
                <c:pt idx="30">
                  <c:v>0.36799164996845168</c:v>
                </c:pt>
                <c:pt idx="31">
                  <c:v>0.39516443635950987</c:v>
                </c:pt>
                <c:pt idx="32">
                  <c:v>0.42337019462833253</c:v>
                </c:pt>
                <c:pt idx="33">
                  <c:v>0.45260978459303747</c:v>
                </c:pt>
                <c:pt idx="34">
                  <c:v>0.48288397474011274</c:v>
                </c:pt>
                <c:pt idx="35">
                  <c:v>0.51419342181869698</c:v>
                </c:pt>
                <c:pt idx="36">
                  <c:v>0.54653867660011435</c:v>
                </c:pt>
                <c:pt idx="37">
                  <c:v>0.57992018913264198</c:v>
                </c:pt>
                <c:pt idx="38">
                  <c:v>0.61433831354996371</c:v>
                </c:pt>
                <c:pt idx="39">
                  <c:v>0.64979331248350891</c:v>
                </c:pt>
                <c:pt idx="40">
                  <c:v>0.68628536112198657</c:v>
                </c:pt>
                <c:pt idx="41">
                  <c:v>0.72381455095564151</c:v>
                </c:pt>
                <c:pt idx="42">
                  <c:v>0.76238089323788372</c:v>
                </c:pt>
                <c:pt idx="43">
                  <c:v>0.80198432219280891</c:v>
                </c:pt>
                <c:pt idx="44">
                  <c:v>0.84262469799360684</c:v>
                </c:pt>
                <c:pt idx="45">
                  <c:v>0.88430180953384874</c:v>
                </c:pt>
                <c:pt idx="46">
                  <c:v>0.92701537701105807</c:v>
                </c:pt>
                <c:pt idx="47">
                  <c:v>0.97076505433974547</c:v>
                </c:pt>
                <c:pt idx="48">
                  <c:v>1.0155504314091603</c:v>
                </c:pt>
                <c:pt idx="49">
                  <c:v>1.0613710361993434</c:v>
                </c:pt>
                <c:pt idx="50">
                  <c:v>1.1082263367676026</c:v>
                </c:pt>
                <c:pt idx="51">
                  <c:v>1.1561160481836537</c:v>
                </c:pt>
                <c:pt idx="52">
                  <c:v>1.2050404415998694</c:v>
                </c:pt>
                <c:pt idx="53">
                  <c:v>1.2550000437855131</c:v>
                </c:pt>
                <c:pt idx="54">
                  <c:v>1.3059953342340382</c:v>
                </c:pt>
                <c:pt idx="55">
                  <c:v>1.3580267464678213</c:v>
                </c:pt>
                <c:pt idx="56">
                  <c:v>1.4110946692731958</c:v>
                </c:pt>
                <c:pt idx="57">
                  <c:v>1.4651994478708552</c:v>
                </c:pt>
                <c:pt idx="58">
                  <c:v>1.5203413850262455</c:v>
                </c:pt>
                <c:pt idx="59">
                  <c:v>1.5765207421041598</c:v>
                </c:pt>
                <c:pt idx="60">
                  <c:v>1.6337377400713895</c:v>
                </c:pt>
                <c:pt idx="61">
                  <c:v>1.6919925604509545</c:v>
                </c:pt>
                <c:pt idx="62">
                  <c:v>1.75128534623115</c:v>
                </c:pt>
                <c:pt idx="63">
                  <c:v>1.8116162027323757</c:v>
                </c:pt>
                <c:pt idx="64">
                  <c:v>1.8729851984344801</c:v>
                </c:pt>
                <c:pt idx="65">
                  <c:v>1.9353923657671328</c:v>
                </c:pt>
                <c:pt idx="66">
                  <c:v>1.9988377018655443</c:v>
                </c:pt>
                <c:pt idx="67">
                  <c:v>2.0633211692936748</c:v>
                </c:pt>
                <c:pt idx="68">
                  <c:v>2.1288426967369096</c:v>
                </c:pt>
                <c:pt idx="69">
                  <c:v>2.1954021796660359</c:v>
                </c:pt>
                <c:pt idx="70">
                  <c:v>2.2629994809742167</c:v>
                </c:pt>
                <c:pt idx="71">
                  <c:v>2.3316344315885393</c:v>
                </c:pt>
                <c:pt idx="72">
                  <c:v>2.4013068310576</c:v>
                </c:pt>
                <c:pt idx="73">
                  <c:v>2.4720164481164857</c:v>
                </c:pt>
                <c:pt idx="74">
                  <c:v>2.5437630212304208</c:v>
                </c:pt>
                <c:pt idx="75">
                  <c:v>2.6165462591182593</c:v>
                </c:pt>
                <c:pt idx="76">
                  <c:v>2.6903658412569191</c:v>
                </c:pt>
                <c:pt idx="77">
                  <c:v>2.765221418367791</c:v>
                </c:pt>
                <c:pt idx="78">
                  <c:v>2.8411126128860813</c:v>
                </c:pt>
                <c:pt idx="79">
                  <c:v>2.9180390194139818</c:v>
                </c:pt>
                <c:pt idx="80">
                  <c:v>2.9960002051585159</c:v>
                </c:pt>
                <c:pt idx="81">
                  <c:v>3.0749957103548398</c:v>
                </c:pt>
                <c:pt idx="82">
                  <c:v>3.1550250486757436</c:v>
                </c:pt>
                <c:pt idx="83">
                  <c:v>3.2360877076280428</c:v>
                </c:pt>
                <c:pt idx="84">
                  <c:v>3.3181831489365119</c:v>
                </c:pt>
                <c:pt idx="85">
                  <c:v>3.4013108089159698</c:v>
                </c:pt>
                <c:pt idx="86">
                  <c:v>3.4854700988320957</c:v>
                </c:pt>
                <c:pt idx="87">
                  <c:v>3.5706604052515152</c:v>
                </c:pt>
                <c:pt idx="88">
                  <c:v>3.656881090381666</c:v>
                </c:pt>
                <c:pt idx="89">
                  <c:v>3.7441314924009252</c:v>
                </c:pt>
                <c:pt idx="90">
                  <c:v>3.8324109257794539</c:v>
                </c:pt>
                <c:pt idx="91">
                  <c:v>3.9217186815911802</c:v>
                </c:pt>
                <c:pt idx="92">
                  <c:v>4.0120540278173333</c:v>
                </c:pt>
                <c:pt idx="93">
                  <c:v>4.1034162096419058</c:v>
                </c:pt>
                <c:pt idx="94">
                  <c:v>4.1958044497394047</c:v>
                </c:pt>
                <c:pt idx="95">
                  <c:v>4.289217948555236</c:v>
                </c:pt>
                <c:pt idx="96">
                  <c:v>4.3836558845790439</c:v>
                </c:pt>
                <c:pt idx="97">
                  <c:v>4.4791174146113146</c:v>
                </c:pt>
                <c:pt idx="98">
                  <c:v>4.5756016740235266</c:v>
                </c:pt>
                <c:pt idx="99">
                  <c:v>4.6731077770121336</c:v>
                </c:pt>
                <c:pt idx="100">
                  <c:v>4.7716348168466336</c:v>
                </c:pt>
                <c:pt idx="101">
                  <c:v>4.8711817150636607</c:v>
                </c:pt>
                <c:pt idx="102">
                  <c:v>4.9717470700293145</c:v>
                </c:pt>
                <c:pt idx="103">
                  <c:v>5.0733293074317274</c:v>
                </c:pt>
                <c:pt idx="104">
                  <c:v>5.1759268314128466</c:v>
                </c:pt>
                <c:pt idx="105">
                  <c:v>5.2795380248258628</c:v>
                </c:pt>
                <c:pt idx="106">
                  <c:v>5.3841612494874385</c:v>
                </c:pt>
                <c:pt idx="107">
                  <c:v>5.4897948464249469</c:v>
                </c:pt>
                <c:pt idx="108">
                  <c:v>5.5964371361189125</c:v>
                </c:pt>
                <c:pt idx="109">
                  <c:v>5.7040864187408555</c:v>
                </c:pt>
                <c:pt idx="110">
                  <c:v>5.8127409743867036</c:v>
                </c:pt>
                <c:pt idx="111">
                  <c:v>5.9223990633059476</c:v>
                </c:pt>
                <c:pt idx="112">
                  <c:v>6.03305892612671</c:v>
                </c:pt>
                <c:pt idx="113">
                  <c:v>6.1447187840768729</c:v>
                </c:pt>
                <c:pt idx="114">
                  <c:v>6.2573768392014113</c:v>
                </c:pt>
                <c:pt idx="115">
                  <c:v>6.3710312745760804</c:v>
                </c:pt>
                <c:pt idx="116">
                  <c:v>6.485680254517586</c:v>
                </c:pt>
                <c:pt idx="117">
                  <c:v>6.6013219247903647</c:v>
                </c:pt>
                <c:pt idx="118">
                  <c:v>6.7179544128100988</c:v>
                </c:pt>
                <c:pt idx="119">
                  <c:v>6.835575827844079</c:v>
                </c:pt>
                <c:pt idx="120">
                  <c:v>6.9541842612085318</c:v>
                </c:pt>
                <c:pt idx="121">
                  <c:v>7.07377778646301</c:v>
                </c:pt>
                <c:pt idx="122">
                  <c:v>7.1943544596019562</c:v>
                </c:pt>
                <c:pt idx="123">
                  <c:v>7.3159123192435258</c:v>
                </c:pt>
                <c:pt idx="124">
                  <c:v>7.4384493868157735</c:v>
                </c:pt>
                <c:pt idx="125">
                  <c:v>7.5619636667402848</c:v>
                </c:pt>
                <c:pt idx="126">
                  <c:v>7.6864531466133386</c:v>
                </c:pt>
                <c:pt idx="127">
                  <c:v>7.8119157973846818</c:v>
                </c:pt>
                <c:pt idx="128">
                  <c:v>7.9383495735339942</c:v>
                </c:pt>
                <c:pt idx="129">
                  <c:v>8.0657524132451215</c:v>
                </c:pt>
                <c:pt idx="130">
                  <c:v>8.1941222385781352</c:v>
                </c:pt>
                <c:pt idx="131">
                  <c:v>8.3234569556393065</c:v>
                </c:pt>
                <c:pt idx="132">
                  <c:v>8.4537544547490384</c:v>
                </c:pt>
                <c:pt idx="133">
                  <c:v>8.585012610607837</c:v>
                </c:pt>
                <c:pt idx="134">
                  <c:v>8.7172292824603694</c:v>
                </c:pt>
                <c:pt idx="135">
                  <c:v>8.8504023142576695</c:v>
                </c:pt>
                <c:pt idx="136">
                  <c:v>8.9845295348175487</c:v>
                </c:pt>
                <c:pt idx="137">
                  <c:v>9.1196087579832597</c:v>
                </c:pt>
                <c:pt idx="138">
                  <c:v>9.2556377827804717</c:v>
                </c:pt>
                <c:pt idx="139">
                  <c:v>9.3926143935725914</c:v>
                </c:pt>
                <c:pt idx="140">
                  <c:v>9.5305363602144926</c:v>
                </c:pt>
                <c:pt idx="141">
                  <c:v>9.6694014382046873</c:v>
                </c:pt>
                <c:pt idx="142">
                  <c:v>9.8092073688359847</c:v>
                </c:pt>
                <c:pt idx="143">
                  <c:v>9.9499518793446828</c:v>
                </c:pt>
                <c:pt idx="144">
                  <c:v>10.091632683058323</c:v>
                </c:pt>
                <c:pt idx="145">
                  <c:v>10.234247479542056</c:v>
                </c:pt>
                <c:pt idx="146">
                  <c:v>10.377793954743641</c:v>
                </c:pt>
                <c:pt idx="147">
                  <c:v>10.522269781137139</c:v>
                </c:pt>
                <c:pt idx="148">
                  <c:v>10.667672617865296</c:v>
                </c:pt>
                <c:pt idx="149">
                  <c:v>10.814000110880681</c:v>
                </c:pt>
                <c:pt idx="150">
                  <c:v>10.961249893085593</c:v>
                </c:pt>
                <c:pt idx="151">
                  <c:v>11.10941963823659</c:v>
                </c:pt>
                <c:pt idx="152">
                  <c:v>11.258507114992467</c:v>
                </c:pt>
                <c:pt idx="153">
                  <c:v>11.408510133445811</c:v>
                </c:pt>
                <c:pt idx="154">
                  <c:v>11.559426491504416</c:v>
                </c:pt>
                <c:pt idx="155">
                  <c:v>11.711253975016765</c:v>
                </c:pt>
                <c:pt idx="156">
                  <c:v>11.863990357896526</c:v>
                </c:pt>
                <c:pt idx="157">
                  <c:v>12.017633402246089</c:v>
                </c:pt>
                <c:pt idx="158">
                  <c:v>12.172180858479164</c:v>
                </c:pt>
                <c:pt idx="159">
                  <c:v>12.327630465442461</c:v>
                </c:pt>
                <c:pt idx="160">
                  <c:v>12.48397995053646</c:v>
                </c:pt>
                <c:pt idx="161">
                  <c:v>12.641227029835317</c:v>
                </c:pt>
                <c:pt idx="162">
                  <c:v>12.799369408205889</c:v>
                </c:pt>
                <c:pt idx="163">
                  <c:v>12.958404779425921</c:v>
                </c:pt>
                <c:pt idx="164">
                  <c:v>13.118330826301406</c:v>
                </c:pt>
                <c:pt idx="165">
                  <c:v>13.279145220783121</c:v>
                </c:pt>
                <c:pt idx="166">
                  <c:v>13.440845624082373</c:v>
                </c:pt>
                <c:pt idx="167">
                  <c:v>13.603429686785955</c:v>
                </c:pt>
                <c:pt idx="168">
                  <c:v>13.766895048970337</c:v>
                </c:pt>
                <c:pt idx="169">
                  <c:v>13.931239340315095</c:v>
                </c:pt>
                <c:pt idx="170">
                  <c:v>14.096460180215599</c:v>
                </c:pt>
                <c:pt idx="171">
                  <c:v>14.262555177894972</c:v>
                </c:pt>
                <c:pt idx="172">
                  <c:v>14.429521932515325</c:v>
                </c:pt>
                <c:pt idx="173">
                  <c:v>14.597358033288289</c:v>
                </c:pt>
                <c:pt idx="174">
                  <c:v>14.766061059584848</c:v>
                </c:pt>
                <c:pt idx="175">
                  <c:v>14.935628581044485</c:v>
                </c:pt>
                <c:pt idx="176">
                  <c:v>15.106058157683655</c:v>
                </c:pt>
                <c:pt idx="177">
                  <c:v>15.277347340003592</c:v>
                </c:pt>
                <c:pt idx="178">
                  <c:v>15.449493669097459</c:v>
                </c:pt>
                <c:pt idx="179">
                  <c:v>15.622494676756849</c:v>
                </c:pt>
                <c:pt idx="180">
                  <c:v>15.796347885577649</c:v>
                </c:pt>
                <c:pt idx="181">
                  <c:v>15.971050809065275</c:v>
                </c:pt>
                <c:pt idx="182">
                  <c:v>16.146600951739281</c:v>
                </c:pt>
                <c:pt idx="183">
                  <c:v>16.322995809237355</c:v>
                </c:pt>
                <c:pt idx="184">
                  <c:v>16.500232868418717</c:v>
                </c:pt>
                <c:pt idx="185">
                  <c:v>16.678309607466893</c:v>
                </c:pt>
                <c:pt idx="186">
                  <c:v>16.857223495991928</c:v>
                </c:pt>
                <c:pt idx="187">
                  <c:v>17.036971995131982</c:v>
                </c:pt>
                <c:pt idx="188">
                  <c:v>17.217552557654368</c:v>
                </c:pt>
                <c:pt idx="189">
                  <c:v>17.398962628056001</c:v>
                </c:pt>
                <c:pt idx="190">
                  <c:v>17.581199642663282</c:v>
                </c:pt>
                <c:pt idx="191">
                  <c:v>17.764261029731426</c:v>
                </c:pt>
                <c:pt idx="192">
                  <c:v>17.948144209543223</c:v>
                </c:pt>
                <c:pt idx="193">
                  <c:v>18.132846594507253</c:v>
                </c:pt>
                <c:pt idx="194">
                  <c:v>18.318365589255542</c:v>
                </c:pt>
                <c:pt idx="195">
                  <c:v>18.504698590740688</c:v>
                </c:pt>
                <c:pt idx="196">
                  <c:v>18.691842988332439</c:v>
                </c:pt>
                <c:pt idx="197">
                  <c:v>18.879796163913745</c:v>
                </c:pt>
                <c:pt idx="198">
                  <c:v>19.068555491976266</c:v>
                </c:pt>
                <c:pt idx="199">
                  <c:v>19.258118339715367</c:v>
                </c:pt>
                <c:pt idx="200">
                  <c:v>19.448482067124576</c:v>
                </c:pt>
                <c:pt idx="201">
                  <c:v>19.639644027089545</c:v>
                </c:pt>
                <c:pt idx="202">
                  <c:v>19.831601565481463</c:v>
                </c:pt>
                <c:pt idx="203">
                  <c:v>20.024352021249996</c:v>
                </c:pt>
                <c:pt idx="204">
                  <c:v>20.217892726515668</c:v>
                </c:pt>
                <c:pt idx="205">
                  <c:v>20.412221006661792</c:v>
                </c:pt>
                <c:pt idx="206">
                  <c:v>20.607334180425845</c:v>
                </c:pt>
                <c:pt idx="207">
                  <c:v>20.803229559990381</c:v>
                </c:pt>
                <c:pt idx="208">
                  <c:v>20.999904451073423</c:v>
                </c:pt>
                <c:pt idx="209">
                  <c:v>21.197356153018365</c:v>
                </c:pt>
                <c:pt idx="210">
                  <c:v>21.395581958883387</c:v>
                </c:pt>
                <c:pt idx="211">
                  <c:v>21.594579155530369</c:v>
                </c:pt>
                <c:pt idx="212">
                  <c:v>21.794345023713323</c:v>
                </c:pt>
                <c:pt idx="213">
                  <c:v>21.994876838166338</c:v>
                </c:pt>
                <c:pt idx="214">
                  <c:v>22.196171867691028</c:v>
                </c:pt>
                <c:pt idx="215">
                  <c:v>22.398227375243518</c:v>
                </c:pt>
                <c:pt idx="216">
                  <c:v>22.601040618020932</c:v>
                </c:pt>
                <c:pt idx="217">
                  <c:v>22.804608847547399</c:v>
                </c:pt>
                <c:pt idx="218">
                  <c:v>23.008929309759608</c:v>
                </c:pt>
                <c:pt idx="219">
                  <c:v>23.213999245091848</c:v>
                </c:pt>
                <c:pt idx="220">
                  <c:v>23.419815888560599</c:v>
                </c:pt>
                <c:pt idx="221">
                  <c:v>23.62637646984864</c:v>
                </c:pt>
                <c:pt idx="222">
                  <c:v>23.833678213388698</c:v>
                </c:pt>
                <c:pt idx="223">
                  <c:v>24.0417183384466</c:v>
                </c:pt>
                <c:pt idx="224">
                  <c:v>24.25049405920398</c:v>
                </c:pt>
                <c:pt idx="225">
                  <c:v>24.460002584840506</c:v>
                </c:pt>
                <c:pt idx="226">
                  <c:v>24.670241119615643</c:v>
                </c:pt>
                <c:pt idx="227">
                  <c:v>24.881206862949941</c:v>
                </c:pt>
                <c:pt idx="228">
                  <c:v>25.092897009505876</c:v>
                </c:pt>
                <c:pt idx="229">
                  <c:v>25.305308749268203</c:v>
                </c:pt>
                <c:pt idx="230">
                  <c:v>25.518439267623869</c:v>
                </c:pt>
                <c:pt idx="231">
                  <c:v>25.732285745441445</c:v>
                </c:pt>
                <c:pt idx="232">
                  <c:v>25.9468453591501</c:v>
                </c:pt>
                <c:pt idx="233">
                  <c:v>26.162115280818128</c:v>
                </c:pt>
                <c:pt idx="234">
                  <c:v>26.378092678230992</c:v>
                </c:pt>
                <c:pt idx="235">
                  <c:v>26.594774714968924</c:v>
                </c:pt>
                <c:pt idx="236">
                  <c:v>26.812158550484064</c:v>
                </c:pt>
                <c:pt idx="237">
                  <c:v>27.030241340177135</c:v>
                </c:pt>
                <c:pt idx="238">
                  <c:v>27.249020235473662</c:v>
                </c:pt>
                <c:pt idx="239">
                  <c:v>27.468492383899743</c:v>
                </c:pt>
                <c:pt idx="240">
                  <c:v>27.688654929157352</c:v>
                </c:pt>
                <c:pt idx="241">
                  <c:v>27.909505011199183</c:v>
                </c:pt>
                <c:pt idx="242">
                  <c:v>28.131039766303054</c:v>
                </c:pt>
                <c:pt idx="243">
                  <c:v>28.353256327145846</c:v>
                </c:pt>
                <c:pt idx="244">
                  <c:v>28.576151822876984</c:v>
                </c:pt>
                <c:pt idx="245">
                  <c:v>28.799723379191473</c:v>
                </c:pt>
                <c:pt idx="246">
                  <c:v>29.023968118402475</c:v>
                </c:pt>
                <c:pt idx="247">
                  <c:v>29.248883159513433</c:v>
                </c:pt>
                <c:pt idx="248">
                  <c:v>29.474465618289745</c:v>
                </c:pt>
                <c:pt idx="249">
                  <c:v>29.700712607329979</c:v>
                </c:pt>
                <c:pt idx="250">
                  <c:v>29.927621236136645</c:v>
                </c:pt>
                <c:pt idx="251">
                  <c:v>30.155188364032824</c:v>
                </c:pt>
                <c:pt idx="252">
                  <c:v>30.383410352825244</c:v>
                </c:pt>
                <c:pt idx="253">
                  <c:v>30.612283313956898</c:v>
                </c:pt>
                <c:pt idx="254">
                  <c:v>30.841803355925073</c:v>
                </c:pt>
                <c:pt idx="255">
                  <c:v>31.071966584375222</c:v>
                </c:pt>
                <c:pt idx="256">
                  <c:v>31.302769102194098</c:v>
                </c:pt>
                <c:pt idx="257">
                  <c:v>31.534207009602177</c:v>
                </c:pt>
                <c:pt idx="258">
                  <c:v>31.766276404245318</c:v>
                </c:pt>
                <c:pt idx="259">
                  <c:v>31.998973381285726</c:v>
                </c:pt>
                <c:pt idx="260">
                  <c:v>32.23229403349216</c:v>
                </c:pt>
                <c:pt idx="261">
                  <c:v>32.46623445132942</c:v>
                </c:pt>
                <c:pt idx="262">
                  <c:v>32.70079072304712</c:v>
                </c:pt>
                <c:pt idx="263">
                  <c:v>32.935958934767719</c:v>
                </c:pt>
                <c:pt idx="264">
                  <c:v>33.171735170573832</c:v>
                </c:pt>
                <c:pt idx="265">
                  <c:v>33.408115512594804</c:v>
                </c:pt>
                <c:pt idx="266">
                  <c:v>33.645096041092593</c:v>
                </c:pt>
                <c:pt idx="267">
                  <c:v>33.882672834546888</c:v>
                </c:pt>
                <c:pt idx="268">
                  <c:v>34.12084196973953</c:v>
                </c:pt>
                <c:pt idx="269">
                  <c:v>34.359599521838213</c:v>
                </c:pt>
                <c:pt idx="270">
                  <c:v>34.598941564479446</c:v>
                </c:pt>
                <c:pt idx="271">
                  <c:v>34.838864169850822</c:v>
                </c:pt>
                <c:pt idx="272">
                  <c:v>35.079363408772544</c:v>
                </c:pt>
                <c:pt idx="273">
                  <c:v>35.32043535077824</c:v>
                </c:pt>
                <c:pt idx="274">
                  <c:v>35.562076064195082</c:v>
                </c:pt>
                <c:pt idx="275">
                  <c:v>35.804281616223165</c:v>
                </c:pt>
                <c:pt idx="276">
                  <c:v>36.047048073014167</c:v>
                </c:pt>
                <c:pt idx="277">
                  <c:v>36.290371499749334</c:v>
                </c:pt>
                <c:pt idx="278">
                  <c:v>36.534247960716698</c:v>
                </c:pt>
                <c:pt idx="279">
                  <c:v>36.778673519387638</c:v>
                </c:pt>
                <c:pt idx="280">
                  <c:v>37.023644238492707</c:v>
                </c:pt>
                <c:pt idx="281">
                  <c:v>37.269156180096722</c:v>
                </c:pt>
                <c:pt idx="282">
                  <c:v>37.515205405673207</c:v>
                </c:pt>
                <c:pt idx="283">
                  <c:v>37.761787976178077</c:v>
                </c:pt>
                <c:pt idx="284">
                  <c:v>38.00889995212264</c:v>
                </c:pt>
                <c:pt idx="285">
                  <c:v>38.256537393645907</c:v>
                </c:pt>
                <c:pt idx="286">
                  <c:v>38.504696360586166</c:v>
                </c:pt>
                <c:pt idx="287">
                  <c:v>38.753372912551882</c:v>
                </c:pt>
                <c:pt idx="288">
                  <c:v>39.002563108991886</c:v>
                </c:pt>
                <c:pt idx="289">
                  <c:v>39.252263009264873</c:v>
                </c:pt>
                <c:pt idx="290">
                  <c:v>39.502468672708183</c:v>
                </c:pt>
                <c:pt idx="291">
                  <c:v>39.753176158705919</c:v>
                </c:pt>
                <c:pt idx="292">
                  <c:v>40.00438152675634</c:v>
                </c:pt>
                <c:pt idx="293">
                  <c:v>40.256080836538587</c:v>
                </c:pt>
                <c:pt idx="294">
                  <c:v>40.508270147978685</c:v>
                </c:pt>
                <c:pt idx="295">
                  <c:v>40.760945521314881</c:v>
                </c:pt>
                <c:pt idx="296">
                  <c:v>41.014103017162299</c:v>
                </c:pt>
                <c:pt idx="297">
                  <c:v>41.267738696576878</c:v>
                </c:pt>
                <c:pt idx="298">
                  <c:v>41.521845842688315</c:v>
                </c:pt>
                <c:pt idx="299">
                  <c:v>41.776412181246947</c:v>
                </c:pt>
                <c:pt idx="300">
                  <c:v>42.031422661236533</c:v>
                </c:pt>
                <c:pt idx="301">
                  <c:v>42.286862236763341</c:v>
                </c:pt>
                <c:pt idx="302">
                  <c:v>42.542715867496241</c:v>
                </c:pt>
                <c:pt idx="303">
                  <c:v>42.798968519098715</c:v>
                </c:pt>
                <c:pt idx="304">
                  <c:v>43.0556051636528</c:v>
                </c:pt>
                <c:pt idx="305">
                  <c:v>43.312610780074962</c:v>
                </c:pt>
                <c:pt idx="306">
                  <c:v>43.569970354523981</c:v>
                </c:pt>
                <c:pt idx="307">
                  <c:v>43.827668880800765</c:v>
                </c:pt>
                <c:pt idx="308">
                  <c:v>44.085691360740192</c:v>
                </c:pt>
                <c:pt idx="309">
                  <c:v>44.34402280459495</c:v>
                </c:pt>
                <c:pt idx="310">
                  <c:v>44.602648231411422</c:v>
                </c:pt>
                <c:pt idx="311">
                  <c:v>44.861552669397618</c:v>
                </c:pt>
                <c:pt idx="312">
                  <c:v>45.120721156283174</c:v>
                </c:pt>
                <c:pt idx="313">
                  <c:v>45.380138739671438</c:v>
                </c:pt>
                <c:pt idx="314">
                  <c:v>45.639790477383663</c:v>
                </c:pt>
                <c:pt idx="315">
                  <c:v>45.899661437795359</c:v>
                </c:pt>
                <c:pt idx="316">
                  <c:v>46.159736700164764</c:v>
                </c:pt>
                <c:pt idx="317">
                  <c:v>46.420001354953513</c:v>
                </c:pt>
                <c:pt idx="318">
                  <c:v>46.680440504139504</c:v>
                </c:pt>
                <c:pt idx="319">
                  <c:v>46.941039261521979</c:v>
                </c:pt>
                <c:pt idx="320">
                  <c:v>47.201782753018854</c:v>
                </c:pt>
                <c:pt idx="321">
                  <c:v>47.462657233680353</c:v>
                </c:pt>
                <c:pt idx="322">
                  <c:v>47.723651204362888</c:v>
                </c:pt>
                <c:pt idx="323">
                  <c:v>47.984754293261155</c:v>
                </c:pt>
                <c:pt idx="324">
                  <c:v>48.245956137694726</c:v>
                </c:pt>
                <c:pt idx="325">
                  <c:v>48.507246384229305</c:v>
                </c:pt>
                <c:pt idx="326">
                  <c:v>48.768614688794244</c:v>
                </c:pt>
                <c:pt idx="327">
                  <c:v>49.030050716796403</c:v>
                </c:pt>
                <c:pt idx="328">
                  <c:v>49.291544143230304</c:v>
                </c:pt>
                <c:pt idx="329">
                  <c:v>49.553084652784669</c:v>
                </c:pt>
                <c:pt idx="330">
                  <c:v>49.814661939945267</c:v>
                </c:pt>
                <c:pt idx="331">
                  <c:v>50.07626570909418</c:v>
                </c:pt>
                <c:pt idx="332">
                  <c:v>50.337885674605424</c:v>
                </c:pt>
                <c:pt idx="333">
                  <c:v>50.59951156093701</c:v>
                </c:pt>
                <c:pt idx="334">
                  <c:v>50.861133102719414</c:v>
                </c:pt>
                <c:pt idx="335">
                  <c:v>51.122740044840484</c:v>
                </c:pt>
                <c:pt idx="336">
                  <c:v>51.384322142526827</c:v>
                </c:pt>
                <c:pt idx="337">
                  <c:v>51.645869161421643</c:v>
                </c:pt>
                <c:pt idx="338">
                  <c:v>51.907370877659083</c:v>
                </c:pt>
                <c:pt idx="339">
                  <c:v>52.168817077935081</c:v>
                </c:pt>
                <c:pt idx="340">
                  <c:v>52.430197559574736</c:v>
                </c:pt>
                <c:pt idx="341">
                  <c:v>52.691502130596234</c:v>
                </c:pt>
                <c:pt idx="342">
                  <c:v>52.952720609771312</c:v>
                </c:pt>
                <c:pt idx="343">
                  <c:v>53.213842826682324</c:v>
                </c:pt>
                <c:pt idx="344">
                  <c:v>53.47485862177588</c:v>
                </c:pt>
                <c:pt idx="345">
                  <c:v>53.735757846413101</c:v>
                </c:pt>
                <c:pt idx="346">
                  <c:v>53.996530362916481</c:v>
                </c:pt>
                <c:pt idx="347">
                  <c:v>54.257166044613427</c:v>
                </c:pt>
                <c:pt idx="348">
                  <c:v>54.517654897726032</c:v>
                </c:pt>
                <c:pt idx="349">
                  <c:v>54.777987183166722</c:v>
                </c:pt>
                <c:pt idx="350">
                  <c:v>55.038153294424831</c:v>
                </c:pt>
                <c:pt idx="351">
                  <c:v>55.298143635537009</c:v>
                </c:pt>
                <c:pt idx="352">
                  <c:v>55.557948621107052</c:v>
                </c:pt>
                <c:pt idx="353">
                  <c:v>55.817558676322726</c:v>
                </c:pt>
                <c:pt idx="354">
                  <c:v>56.076964236969715</c:v>
                </c:pt>
                <c:pt idx="355">
                  <c:v>56.336155749442639</c:v>
                </c:pt>
                <c:pt idx="356">
                  <c:v>56.595123670753182</c:v>
                </c:pt>
                <c:pt idx="357">
                  <c:v>56.853858468535314</c:v>
                </c:pt>
                <c:pt idx="358">
                  <c:v>57.112350621047675</c:v>
                </c:pt>
                <c:pt idx="359">
                  <c:v>57.370590617173079</c:v>
                </c:pt>
                <c:pt idx="360">
                  <c:v>57.628571503449471</c:v>
                </c:pt>
                <c:pt idx="361">
                  <c:v>57.886291428847137</c:v>
                </c:pt>
                <c:pt idx="362">
                  <c:v>58.143751091088077</c:v>
                </c:pt>
                <c:pt idx="363">
                  <c:v>58.400951185227022</c:v>
                </c:pt>
                <c:pt idx="364">
                  <c:v>58.657892403665329</c:v>
                </c:pt>
                <c:pt idx="365">
                  <c:v>58.914575436164775</c:v>
                </c:pt>
                <c:pt idx="366">
                  <c:v>59.171000969861254</c:v>
                </c:pt>
                <c:pt idx="367">
                  <c:v>59.427169689278422</c:v>
                </c:pt>
                <c:pt idx="368">
                  <c:v>59.68308227634121</c:v>
                </c:pt>
                <c:pt idx="369">
                  <c:v>59.93873941038926</c:v>
                </c:pt>
                <c:pt idx="370">
                  <c:v>60.194141768190292</c:v>
                </c:pt>
                <c:pt idx="371">
                  <c:v>60.449290023953374</c:v>
                </c:pt>
                <c:pt idx="372">
                  <c:v>60.704184849342091</c:v>
                </c:pt>
                <c:pt idx="373">
                  <c:v>60.958826913487655</c:v>
                </c:pt>
                <c:pt idx="374">
                  <c:v>61.213216883001913</c:v>
                </c:pt>
                <c:pt idx="375">
                  <c:v>61.467355421990284</c:v>
                </c:pt>
                <c:pt idx="376">
                  <c:v>61.721243192064591</c:v>
                </c:pt>
                <c:pt idx="377">
                  <c:v>61.974880852355831</c:v>
                </c:pt>
                <c:pt idx="378">
                  <c:v>62.228269059526866</c:v>
                </c:pt>
                <c:pt idx="379">
                  <c:v>62.481408467785009</c:v>
                </c:pt>
                <c:pt idx="380">
                  <c:v>62.734299728894541</c:v>
                </c:pt>
                <c:pt idx="381">
                  <c:v>62.986943492189177</c:v>
                </c:pt>
                <c:pt idx="382">
                  <c:v>63.239340404584389</c:v>
                </c:pt>
                <c:pt idx="383">
                  <c:v>63.49149111058972</c:v>
                </c:pt>
                <c:pt idx="384">
                  <c:v>63.743396252320963</c:v>
                </c:pt>
                <c:pt idx="385">
                  <c:v>63.995056469512306</c:v>
                </c:pt>
                <c:pt idx="386">
                  <c:v>64.246472399528358</c:v>
                </c:pt>
                <c:pt idx="387">
                  <c:v>64.497644677376158</c:v>
                </c:pt>
                <c:pt idx="388">
                  <c:v>64.748573935717019</c:v>
                </c:pt>
                <c:pt idx="389">
                  <c:v>64.999260804878389</c:v>
                </c:pt>
                <c:pt idx="390">
                  <c:v>65.249705912865593</c:v>
                </c:pt>
                <c:pt idx="391">
                  <c:v>65.499909885373498</c:v>
                </c:pt>
                <c:pt idx="392">
                  <c:v>65.749873345798107</c:v>
                </c:pt>
                <c:pt idx="393">
                  <c:v>65.999596915248077</c:v>
                </c:pt>
                <c:pt idx="394">
                  <c:v>66.249081212556206</c:v>
                </c:pt>
                <c:pt idx="395">
                  <c:v>66.498326854290781</c:v>
                </c:pt>
                <c:pt idx="396">
                  <c:v>66.7473344547669</c:v>
                </c:pt>
                <c:pt idx="397">
                  <c:v>66.996104626057715</c:v>
                </c:pt>
                <c:pt idx="398">
                  <c:v>67.244637978005585</c:v>
                </c:pt>
                <c:pt idx="399">
                  <c:v>67.492935118233206</c:v>
                </c:pt>
                <c:pt idx="400">
                  <c:v>67.740996652154607</c:v>
                </c:pt>
                <c:pt idx="401">
                  <c:v>70.208700369130867</c:v>
                </c:pt>
                <c:pt idx="402">
                  <c:v>72.653231746853606</c:v>
                </c:pt>
                <c:pt idx="403">
                  <c:v>75.075175904641185</c:v>
                </c:pt>
                <c:pt idx="404">
                  <c:v>77.475097257035614</c:v>
                </c:pt>
                <c:pt idx="405">
                  <c:v>79.853540506137236</c:v>
                </c:pt>
                <c:pt idx="406">
                  <c:v>82.211031574892814</c:v>
                </c:pt>
                <c:pt idx="407">
                  <c:v>84.548078485530667</c:v>
                </c:pt>
                <c:pt idx="408">
                  <c:v>86.86517218699143</c:v>
                </c:pt>
                <c:pt idx="409">
                  <c:v>89.162787334890496</c:v>
                </c:pt>
                <c:pt idx="410">
                  <c:v>91.441383027264138</c:v>
                </c:pt>
                <c:pt idx="411">
                  <c:v>93.701403499093288</c:v>
                </c:pt>
                <c:pt idx="412">
                  <c:v>95.943278778364188</c:v>
                </c:pt>
                <c:pt idx="413">
                  <c:v>98.167425306210944</c:v>
                </c:pt>
                <c:pt idx="414">
                  <c:v>100.37424652349013</c:v>
                </c:pt>
                <c:pt idx="415">
                  <c:v>102.56413342595928</c:v>
                </c:pt>
                <c:pt idx="416">
                  <c:v>104.73746509006816</c:v>
                </c:pt>
                <c:pt idx="417">
                  <c:v>106.8946091712229</c:v>
                </c:pt>
                <c:pt idx="418">
                  <c:v>109.0359223762466</c:v>
                </c:pt>
                <c:pt idx="419">
                  <c:v>111.16175091163467</c:v>
                </c:pt>
                <c:pt idx="420">
                  <c:v>113.2724309090886</c:v>
                </c:pt>
                <c:pt idx="421">
                  <c:v>115.3682888297065</c:v>
                </c:pt>
                <c:pt idx="422">
                  <c:v>117.44964184811145</c:v>
                </c:pt>
                <c:pt idx="423">
                  <c:v>119.51679821770988</c:v>
                </c:pt>
                <c:pt idx="424">
                  <c:v>121.57005761818975</c:v>
                </c:pt>
                <c:pt idx="425">
                  <c:v>123.60971148629295</c:v>
                </c:pt>
                <c:pt idx="426">
                  <c:v>125.63604333082594</c:v>
                </c:pt>
                <c:pt idx="427">
                  <c:v>127.64932903280877</c:v>
                </c:pt>
                <c:pt idx="428">
                  <c:v>129.64983713160245</c:v>
                </c:pt>
                <c:pt idx="429">
                  <c:v>131.63782909780011</c:v>
                </c:pt>
                <c:pt idx="430">
                  <c:v>133.61355959361552</c:v>
                </c:pt>
                <c:pt idx="431">
                  <c:v>135.57727672145646</c:v>
                </c:pt>
                <c:pt idx="432">
                  <c:v>137.52922226132551</c:v>
                </c:pt>
                <c:pt idx="433">
                  <c:v>139.46963189765094</c:v>
                </c:pt>
                <c:pt idx="434">
                  <c:v>141.39873543611222</c:v>
                </c:pt>
                <c:pt idx="435">
                  <c:v>143.3167570109901</c:v>
                </c:pt>
                <c:pt idx="436">
                  <c:v>145.22391528353819</c:v>
                </c:pt>
                <c:pt idx="437">
                  <c:v>147.12042363184284</c:v>
                </c:pt>
                <c:pt idx="438">
                  <c:v>149.00649033261024</c:v>
                </c:pt>
                <c:pt idx="439">
                  <c:v>150.8823187352927</c:v>
                </c:pt>
                <c:pt idx="440">
                  <c:v>152.7481074289424</c:v>
                </c:pt>
                <c:pt idx="441">
                  <c:v>154.6040504021575</c:v>
                </c:pt>
                <c:pt idx="442">
                  <c:v>156.45033719646435</c:v>
                </c:pt>
                <c:pt idx="443">
                  <c:v>158.28715305345975</c:v>
                </c:pt>
                <c:pt idx="444">
                  <c:v>160.11467905601856</c:v>
                </c:pt>
                <c:pt idx="445">
                  <c:v>161.93309226385446</c:v>
                </c:pt>
                <c:pt idx="446">
                  <c:v>163.74256584370571</c:v>
                </c:pt>
                <c:pt idx="447">
                  <c:v>165.54326919440194</c:v>
                </c:pt>
                <c:pt idx="448">
                  <c:v>167.33536806705479</c:v>
                </c:pt>
                <c:pt idx="449">
                  <c:v>169.11902468060049</c:v>
                </c:pt>
                <c:pt idx="450">
                  <c:v>170.89439783291127</c:v>
                </c:pt>
                <c:pt idx="451">
                  <c:v>172.66164300767966</c:v>
                </c:pt>
                <c:pt idx="452">
                  <c:v>174.42091247726967</c:v>
                </c:pt>
                <c:pt idx="453">
                  <c:v>176.17235540171757</c:v>
                </c:pt>
                <c:pt idx="454">
                  <c:v>177.91611792405595</c:v>
                </c:pt>
                <c:pt idx="455">
                  <c:v>179.6523432621251</c:v>
                </c:pt>
                <c:pt idx="456">
                  <c:v>181.38117179702763</c:v>
                </c:pt>
                <c:pt idx="457">
                  <c:v>183.10274115837359</c:v>
                </c:pt>
                <c:pt idx="458">
                  <c:v>184.81718630645608</c:v>
                </c:pt>
                <c:pt idx="459">
                  <c:v>186.52463961149013</c:v>
                </c:pt>
                <c:pt idx="460">
                  <c:v>188.22523093004057</c:v>
                </c:pt>
                <c:pt idx="461">
                  <c:v>189.9190876787585</c:v>
                </c:pt>
                <c:pt idx="462">
                  <c:v>191.60633490553991</c:v>
                </c:pt>
                <c:pt idx="463">
                  <c:v>193.28709535821389</c:v>
                </c:pt>
                <c:pt idx="464">
                  <c:v>194.96148955086301</c:v>
                </c:pt>
                <c:pt idx="465">
                  <c:v>196.62963582787302</c:v>
                </c:pt>
                <c:pt idx="466">
                  <c:v>198.29165042580431</c:v>
                </c:pt>
                <c:pt idx="467">
                  <c:v>199.9476475331727</c:v>
                </c:pt>
                <c:pt idx="468">
                  <c:v>201.5977393482234</c:v>
                </c:pt>
                <c:pt idx="469">
                  <c:v>203.24203613477701</c:v>
                </c:pt>
                <c:pt idx="470">
                  <c:v>204.8806462762235</c:v>
                </c:pt>
                <c:pt idx="471">
                  <c:v>206.51367632773531</c:v>
                </c:pt>
                <c:pt idx="472">
                  <c:v>208.1412310667682</c:v>
                </c:pt>
                <c:pt idx="473">
                  <c:v>209.76341354191436</c:v>
                </c:pt>
                <c:pt idx="474">
                  <c:v>211.38032512016932</c:v>
                </c:pt>
                <c:pt idx="475">
                  <c:v>212.99206553267126</c:v>
                </c:pt>
                <c:pt idx="476">
                  <c:v>214.5987329189683</c:v>
                </c:pt>
                <c:pt idx="477">
                  <c:v>216.20042386986623</c:v>
                </c:pt>
                <c:pt idx="478">
                  <c:v>217.797233468907</c:v>
                </c:pt>
                <c:pt idx="479">
                  <c:v>219.3892553325251</c:v>
                </c:pt>
                <c:pt idx="480">
                  <c:v>220.97658164892709</c:v>
                </c:pt>
                <c:pt idx="481">
                  <c:v>222.55930321573629</c:v>
                </c:pt>
                <c:pt idx="482">
                  <c:v>224.13750947644317</c:v>
                </c:pt>
                <c:pt idx="483">
                  <c:v>225.7112885556991</c:v>
                </c:pt>
                <c:pt idx="484">
                  <c:v>227.28072729348904</c:v>
                </c:pt>
                <c:pt idx="485">
                  <c:v>228.84591127821687</c:v>
                </c:pt>
                <c:pt idx="486">
                  <c:v>230.40692487873437</c:v>
                </c:pt>
                <c:pt idx="487">
                  <c:v>231.96385127534316</c:v>
                </c:pt>
                <c:pt idx="488">
                  <c:v>233.51677248979684</c:v>
                </c:pt>
                <c:pt idx="489">
                  <c:v>235.06576941432826</c:v>
                </c:pt>
                <c:pt idx="490">
                  <c:v>236.61092183972482</c:v>
                </c:pt>
                <c:pt idx="491">
                  <c:v>238.15230848247288</c:v>
                </c:pt>
                <c:pt idx="492">
                  <c:v>239.69000701098955</c:v>
                </c:pt>
                <c:pt idx="493">
                  <c:v>241.2240940709591</c:v>
                </c:pt>
                <c:pt idx="494">
                  <c:v>242.75464530978769</c:v>
                </c:pt>
                <c:pt idx="495">
                  <c:v>244.28173540018884</c:v>
                </c:pt>
                <c:pt idx="496">
                  <c:v>245.80543806290916</c:v>
                </c:pt>
                <c:pt idx="497">
                  <c:v>247.32582608860159</c:v>
                </c:pt>
                <c:pt idx="498">
                  <c:v>248.84297135885055</c:v>
                </c:pt>
                <c:pt idx="499">
                  <c:v>250.35694486635086</c:v>
                </c:pt>
                <c:pt idx="500">
                  <c:v>251.86781673423914</c:v>
                </c:pt>
                <c:pt idx="501">
                  <c:v>253.37565623457314</c:v>
                </c:pt>
                <c:pt idx="502">
                  <c:v>254.88053180595125</c:v>
                </c:pt>
                <c:pt idx="503">
                  <c:v>256.38251107026042</c:v>
                </c:pt>
                <c:pt idx="504">
                  <c:v>257.88166084853668</c:v>
                </c:pt>
                <c:pt idx="505">
                  <c:v>259.37804717591814</c:v>
                </c:pt>
                <c:pt idx="506">
                  <c:v>260.87173531566492</c:v>
                </c:pt>
                <c:pt idx="507">
                  <c:v>262.36278977221531</c:v>
                </c:pt>
                <c:pt idx="508">
                  <c:v>263.85127430324144</c:v>
                </c:pt>
                <c:pt idx="509">
                  <c:v>265.33725193066039</c:v>
                </c:pt>
                <c:pt idx="510">
                  <c:v>266.82078495054941</c:v>
                </c:pt>
                <c:pt idx="511">
                  <c:v>268.30193494190496</c:v>
                </c:pt>
                <c:pt idx="512">
                  <c:v>269.78076277417603</c:v>
                </c:pt>
                <c:pt idx="513">
                  <c:v>271.25732861349081</c:v>
                </c:pt>
                <c:pt idx="514">
                  <c:v>272.73169192748304</c:v>
                </c:pt>
                <c:pt idx="515">
                  <c:v>274.20391148861125</c:v>
                </c:pt>
                <c:pt idx="516">
                  <c:v>275.67404537584679</c:v>
                </c:pt>
                <c:pt idx="517">
                  <c:v>277.14215097458924</c:v>
                </c:pt>
                <c:pt idx="518">
                  <c:v>278.60828497464638</c:v>
                </c:pt>
                <c:pt idx="519">
                  <c:v>280.07250336609235</c:v>
                </c:pt>
                <c:pt idx="520">
                  <c:v>281.53486143279071</c:v>
                </c:pt>
                <c:pt idx="521">
                  <c:v>282.99541374333774</c:v>
                </c:pt>
                <c:pt idx="522">
                  <c:v>284.45421413914715</c:v>
                </c:pt>
                <c:pt idx="523">
                  <c:v>285.91131571935631</c:v>
                </c:pt>
                <c:pt idx="524">
                  <c:v>287.36677082219012</c:v>
                </c:pt>
                <c:pt idx="525">
                  <c:v>288.82063100236729</c:v>
                </c:pt>
                <c:pt idx="526">
                  <c:v>290.27294700407691</c:v>
                </c:pt>
                <c:pt idx="527">
                  <c:v>291.72376872899031</c:v>
                </c:pt>
                <c:pt idx="528">
                  <c:v>293.17314519870348</c:v>
                </c:pt>
                <c:pt idx="529">
                  <c:v>294.62112451093157</c:v>
                </c:pt>
                <c:pt idx="530">
                  <c:v>296.0677537886973</c:v>
                </c:pt>
                <c:pt idx="531">
                  <c:v>297.51307912167664</c:v>
                </c:pt>
                <c:pt idx="532">
                  <c:v>298.95714549878664</c:v>
                </c:pt>
                <c:pt idx="533">
                  <c:v>300.39999673103569</c:v>
                </c:pt>
                <c:pt idx="534">
                  <c:v>301.84167536360781</c:v>
                </c:pt>
                <c:pt idx="535">
                  <c:v>303.28222257614146</c:v>
                </c:pt>
                <c:pt idx="536">
                  <c:v>304.72167807020423</c:v>
                </c:pt>
                <c:pt idx="537">
                  <c:v>306.16007994308745</c:v>
                </c:pt>
                <c:pt idx="538">
                  <c:v>307.59746454727804</c:v>
                </c:pt>
                <c:pt idx="539">
                  <c:v>309.03386633535251</c:v>
                </c:pt>
                <c:pt idx="540">
                  <c:v>310.46931769061524</c:v>
                </c:pt>
                <c:pt idx="541">
                  <c:v>311.90384874461307</c:v>
                </c:pt>
                <c:pt idx="542">
                  <c:v>313.33748718372203</c:v>
                </c:pt>
                <c:pt idx="543">
                  <c:v>314.77025804831072</c:v>
                </c:pt>
                <c:pt idx="544">
                  <c:v>316.20218352948422</c:v>
                </c:pt>
                <c:pt idx="545">
                  <c:v>317.63328276997242</c:v>
                </c:pt>
                <c:pt idx="546">
                  <c:v>319.06357167714185</c:v>
                </c:pt>
                <c:pt idx="547">
                  <c:v>320.49306275710939</c:v>
                </c:pt>
                <c:pt idx="548">
                  <c:v>321.92176497922156</c:v>
                </c:pt>
                <c:pt idx="549">
                  <c:v>323.34968367948881</c:v>
                </c:pt>
                <c:pt idx="550">
                  <c:v>324.77682050982679</c:v>
                </c:pt>
                <c:pt idx="551">
                  <c:v>326.20317343725924</c:v>
                </c:pt>
                <c:pt idx="552">
                  <c:v>327.62873679391549</c:v>
                </c:pt>
                <c:pt idx="553">
                  <c:v>329.05350137519792</c:v>
                </c:pt>
                <c:pt idx="554">
                  <c:v>330.47745458043784</c:v>
                </c:pt>
                <c:pt idx="555">
                  <c:v>331.90058058812014</c:v>
                </c:pt>
                <c:pt idx="556">
                  <c:v>333.32286055656721</c:v>
                </c:pt>
                <c:pt idx="557">
                  <c:v>334.7442728408173</c:v>
                </c:pt>
                <c:pt idx="558">
                  <c:v>336.1647932171299</c:v>
                </c:pt>
                <c:pt idx="559">
                  <c:v>337.58439510781301</c:v>
                </c:pt>
                <c:pt idx="560">
                  <c:v>339.00304980060162</c:v>
                </c:pt>
                <c:pt idx="561">
                  <c:v>340.42072665838037</c:v>
                </c:pt>
                <c:pt idx="562">
                  <c:v>341.83739331646683</c:v>
                </c:pt>
                <c:pt idx="563">
                  <c:v>343.25301586586761</c:v>
                </c:pt>
                <c:pt idx="564">
                  <c:v>344.66755902185605</c:v>
                </c:pt>
                <c:pt idx="565">
                  <c:v>346.08098627790844</c:v>
                </c:pt>
                <c:pt idx="566">
                  <c:v>347.49326004551148</c:v>
                </c:pt>
                <c:pt idx="567">
                  <c:v>348.90434178065385</c:v>
                </c:pt>
                <c:pt idx="568">
                  <c:v>350.31419209798537</c:v>
                </c:pt>
                <c:pt idx="569">
                  <c:v>351.7227708737006</c:v>
                </c:pt>
                <c:pt idx="570">
                  <c:v>353.13003733821137</c:v>
                </c:pt>
                <c:pt idx="571">
                  <c:v>354.53595015963867</c:v>
                </c:pt>
                <c:pt idx="572">
                  <c:v>355.94046751909138</c:v>
                </c:pt>
                <c:pt idx="573">
                  <c:v>357.34354717862533</c:v>
                </c:pt>
                <c:pt idx="574">
                  <c:v>358.74514654269461</c:v>
                </c:pt>
                <c:pt idx="575">
                  <c:v>360.1452227138256</c:v>
                </c:pt>
                <c:pt idx="576">
                  <c:v>361.54373254316607</c:v>
                </c:pt>
                <c:pt idx="577">
                  <c:v>362.94063267648869</c:v>
                </c:pt>
                <c:pt idx="578">
                  <c:v>364.33587959616153</c:v>
                </c:pt>
                <c:pt idx="579">
                  <c:v>365.72942965953689</c:v>
                </c:pt>
                <c:pt idx="580">
                  <c:v>367.1212391341565</c:v>
                </c:pt>
                <c:pt idx="581">
                  <c:v>368.51126423012232</c:v>
                </c:pt>
                <c:pt idx="582">
                  <c:v>369.89946112994028</c:v>
                </c:pt>
                <c:pt idx="583">
                  <c:v>371.28578601610621</c:v>
                </c:pt>
                <c:pt idx="584">
                  <c:v>372.67019509667159</c:v>
                </c:pt>
                <c:pt idx="585">
                  <c:v>374.05264462899657</c:v>
                </c:pt>
                <c:pt idx="586">
                  <c:v>375.43309094187396</c:v>
                </c:pt>
                <c:pt idx="587">
                  <c:v>376.81149045618525</c:v>
                </c:pt>
                <c:pt idx="588">
                  <c:v>378.18779970423043</c:v>
                </c:pt>
                <c:pt idx="589">
                  <c:v>379.56197534785758</c:v>
                </c:pt>
                <c:pt idx="590">
                  <c:v>380.93397419550229</c:v>
                </c:pt>
                <c:pt idx="591">
                  <c:v>382.30375321823499</c:v>
                </c:pt>
                <c:pt idx="592">
                  <c:v>383.67126956490324</c:v>
                </c:pt>
                <c:pt idx="593">
                  <c:v>385.0364805764454</c:v>
                </c:pt>
                <c:pt idx="594">
                  <c:v>386.39934379944424</c:v>
                </c:pt>
                <c:pt idx="595">
                  <c:v>387.75981699898102</c:v>
                </c:pt>
                <c:pt idx="596">
                  <c:v>389.11785817084456</c:v>
                </c:pt>
                <c:pt idx="597">
                  <c:v>390.47342555314287</c:v>
                </c:pt>
                <c:pt idx="598">
                  <c:v>391.82647763736105</c:v>
                </c:pt>
                <c:pt idx="599">
                  <c:v>393.17697317890361</c:v>
                </c:pt>
                <c:pt idx="600">
                  <c:v>394.52487120715602</c:v>
                </c:pt>
                <c:pt idx="601">
                  <c:v>395.87013103509639</c:v>
                </c:pt>
                <c:pt idx="602">
                  <c:v>397.21271226848484</c:v>
                </c:pt>
                <c:pt idx="603">
                  <c:v>398.55257481465611</c:v>
                </c:pt>
                <c:pt idx="604">
                  <c:v>399.88967889093772</c:v>
                </c:pt>
                <c:pt idx="605">
                  <c:v>401.22398503271381</c:v>
                </c:pt>
                <c:pt idx="606">
                  <c:v>402.55545410115383</c:v>
                </c:pt>
                <c:pt idx="607">
                  <c:v>403.88404729062171</c:v>
                </c:pt>
                <c:pt idx="608">
                  <c:v>405.20972613578175</c:v>
                </c:pt>
                <c:pt idx="609">
                  <c:v>406.53245251841406</c:v>
                </c:pt>
                <c:pt idx="610">
                  <c:v>407.85218867395258</c:v>
                </c:pt>
                <c:pt idx="611">
                  <c:v>409.16889719775685</c:v>
                </c:pt>
                <c:pt idx="612">
                  <c:v>410.48254105112807</c:v>
                </c:pt>
                <c:pt idx="613">
                  <c:v>411.79308356707884</c:v>
                </c:pt>
                <c:pt idx="614">
                  <c:v>413.10048845586545</c:v>
                </c:pt>
                <c:pt idx="615">
                  <c:v>414.40471981029043</c:v>
                </c:pt>
                <c:pt idx="616">
                  <c:v>415.70574211078309</c:v>
                </c:pt>
                <c:pt idx="617">
                  <c:v>417.00352023026466</c:v>
                </c:pt>
                <c:pt idx="618">
                  <c:v>418.29801943880426</c:v>
                </c:pt>
                <c:pt idx="619">
                  <c:v>419.58920540807173</c:v>
                </c:pt>
                <c:pt idx="620">
                  <c:v>420.87704421559226</c:v>
                </c:pt>
                <c:pt idx="621">
                  <c:v>422.16150234880854</c:v>
                </c:pt>
                <c:pt idx="622">
                  <c:v>423.4425467089543</c:v>
                </c:pt>
                <c:pt idx="623">
                  <c:v>424.72014461474447</c:v>
                </c:pt>
                <c:pt idx="624">
                  <c:v>425.99426380588528</c:v>
                </c:pt>
                <c:pt idx="625">
                  <c:v>427.26487244640873</c:v>
                </c:pt>
                <c:pt idx="626">
                  <c:v>428.53193912783473</c:v>
                </c:pt>
                <c:pt idx="627">
                  <c:v>429.79543287216467</c:v>
                </c:pt>
                <c:pt idx="628">
                  <c:v>431.05532313470928</c:v>
                </c:pt>
                <c:pt idx="629">
                  <c:v>432.31157980675431</c:v>
                </c:pt>
                <c:pt idx="630">
                  <c:v>433.5641732180668</c:v>
                </c:pt>
                <c:pt idx="631">
                  <c:v>434.81307413924458</c:v>
                </c:pt>
                <c:pt idx="632">
                  <c:v>436.05825378391222</c:v>
                </c:pt>
                <c:pt idx="633">
                  <c:v>437.2996838107656</c:v>
                </c:pt>
                <c:pt idx="634">
                  <c:v>438.53733632546772</c:v>
                </c:pt>
                <c:pt idx="635">
                  <c:v>439.77118388239836</c:v>
                </c:pt>
                <c:pt idx="636">
                  <c:v>441.00119948625985</c:v>
                </c:pt>
                <c:pt idx="637">
                  <c:v>442.22735659354134</c:v>
                </c:pt>
                <c:pt idx="638">
                  <c:v>443.44962911384368</c:v>
                </c:pt>
                <c:pt idx="639">
                  <c:v>444.66799141106696</c:v>
                </c:pt>
                <c:pt idx="640">
                  <c:v>445.88241830446356</c:v>
                </c:pt>
                <c:pt idx="641">
                  <c:v>447.09288506955795</c:v>
                </c:pt>
                <c:pt idx="642">
                  <c:v>448.29936743893592</c:v>
                </c:pt>
                <c:pt idx="643">
                  <c:v>449.50184160290485</c:v>
                </c:pt>
                <c:pt idx="644">
                  <c:v>450.70028421002752</c:v>
                </c:pt>
                <c:pt idx="645">
                  <c:v>451.89467236753109</c:v>
                </c:pt>
                <c:pt idx="646">
                  <c:v>453.08498364159328</c:v>
                </c:pt>
                <c:pt idx="647">
                  <c:v>454.27119605750784</c:v>
                </c:pt>
                <c:pt idx="648">
                  <c:v>455.45328809973097</c:v>
                </c:pt>
                <c:pt idx="649">
                  <c:v>456.63123871181119</c:v>
                </c:pt>
                <c:pt idx="650">
                  <c:v>457.80502729620383</c:v>
                </c:pt>
                <c:pt idx="651">
                  <c:v>458.97463371397259</c:v>
                </c:pt>
                <c:pt idx="652">
                  <c:v>460.1400382843799</c:v>
                </c:pt>
                <c:pt idx="653">
                  <c:v>461.30122178436767</c:v>
                </c:pt>
                <c:pt idx="654">
                  <c:v>462.45816544793115</c:v>
                </c:pt>
                <c:pt idx="655">
                  <c:v>463.6108509653867</c:v>
                </c:pt>
                <c:pt idx="656">
                  <c:v>464.75926048253621</c:v>
                </c:pt>
                <c:pt idx="657">
                  <c:v>465.90337659972937</c:v>
                </c:pt>
                <c:pt idx="658">
                  <c:v>467.0431823708264</c:v>
                </c:pt>
                <c:pt idx="659">
                  <c:v>468.17866130206238</c:v>
                </c:pt>
                <c:pt idx="660">
                  <c:v>469.30979735081547</c:v>
                </c:pt>
                <c:pt idx="661">
                  <c:v>470.43657492428082</c:v>
                </c:pt>
                <c:pt idx="662">
                  <c:v>471.55897887805173</c:v>
                </c:pt>
                <c:pt idx="663">
                  <c:v>472.67699451461044</c:v>
                </c:pt>
                <c:pt idx="664">
                  <c:v>473.79060758173006</c:v>
                </c:pt>
                <c:pt idx="665">
                  <c:v>474.89980427078945</c:v>
                </c:pt>
                <c:pt idx="666">
                  <c:v>476.00457121500295</c:v>
                </c:pt>
                <c:pt idx="667">
                  <c:v>477.10489548756715</c:v>
                </c:pt>
                <c:pt idx="668">
                  <c:v>478.20076459972591</c:v>
                </c:pt>
                <c:pt idx="669">
                  <c:v>479.29216649875599</c:v>
                </c:pt>
                <c:pt idx="670">
                  <c:v>480.37908956587501</c:v>
                </c:pt>
                <c:pt idx="671">
                  <c:v>481.46152261407337</c:v>
                </c:pt>
                <c:pt idx="672">
                  <c:v>482.53945488587209</c:v>
                </c:pt>
                <c:pt idx="673">
                  <c:v>483.61287605100864</c:v>
                </c:pt>
                <c:pt idx="674">
                  <c:v>484.68177620405203</c:v>
                </c:pt>
                <c:pt idx="675">
                  <c:v>485.74614586194951</c:v>
                </c:pt>
                <c:pt idx="676">
                  <c:v>486.80597596150653</c:v>
                </c:pt>
                <c:pt idx="677">
                  <c:v>487.8612578568015</c:v>
                </c:pt>
                <c:pt idx="678">
                  <c:v>488.91198331653737</c:v>
                </c:pt>
                <c:pt idx="679">
                  <c:v>489.95814452133209</c:v>
                </c:pt>
                <c:pt idx="680">
                  <c:v>490.99973406094909</c:v>
                </c:pt>
                <c:pt idx="681">
                  <c:v>492.03674493147014</c:v>
                </c:pt>
                <c:pt idx="682">
                  <c:v>493.06917053241193</c:v>
                </c:pt>
                <c:pt idx="683">
                  <c:v>494.09700466378865</c:v>
                </c:pt>
                <c:pt idx="684">
                  <c:v>495.12024152312159</c:v>
                </c:pt>
                <c:pt idx="685">
                  <c:v>496.13887570239808</c:v>
                </c:pt>
                <c:pt idx="686">
                  <c:v>497.15290218498126</c:v>
                </c:pt>
                <c:pt idx="687">
                  <c:v>498.16231634247265</c:v>
                </c:pt>
                <c:pt idx="688">
                  <c:v>499.16711393152849</c:v>
                </c:pt>
                <c:pt idx="689">
                  <c:v>500.16729109063266</c:v>
                </c:pt>
                <c:pt idx="690">
                  <c:v>501.16284433682682</c:v>
                </c:pt>
                <c:pt idx="691">
                  <c:v>502.15377056240004</c:v>
                </c:pt>
                <c:pt idx="692">
                  <c:v>503.14006703153927</c:v>
                </c:pt>
                <c:pt idx="693">
                  <c:v>504.12173137694253</c:v>
                </c:pt>
                <c:pt idx="694">
                  <c:v>505.09876159639629</c:v>
                </c:pt>
                <c:pt idx="695">
                  <c:v>506.07115604931857</c:v>
                </c:pt>
                <c:pt idx="696">
                  <c:v>507.03891345326952</c:v>
                </c:pt>
                <c:pt idx="697">
                  <c:v>508.00203288043093</c:v>
                </c:pt>
                <c:pt idx="698">
                  <c:v>508.96051375405636</c:v>
                </c:pt>
                <c:pt idx="699">
                  <c:v>509.91435584489312</c:v>
                </c:pt>
                <c:pt idx="700">
                  <c:v>510.86355926757818</c:v>
                </c:pt>
                <c:pt idx="701">
                  <c:v>511.80812447700873</c:v>
                </c:pt>
                <c:pt idx="702">
                  <c:v>512.74805226468982</c:v>
                </c:pt>
                <c:pt idx="703">
                  <c:v>513.68334375505958</c:v>
                </c:pt>
                <c:pt idx="704">
                  <c:v>514.61400040179433</c:v>
                </c:pt>
                <c:pt idx="705">
                  <c:v>515.5400239840942</c:v>
                </c:pt>
                <c:pt idx="706">
                  <c:v>516.46141660295166</c:v>
                </c:pt>
                <c:pt idx="707">
                  <c:v>517.37818067740295</c:v>
                </c:pt>
                <c:pt idx="708">
                  <c:v>518.29031894076536</c:v>
                </c:pt>
                <c:pt idx="709">
                  <c:v>519.19783443686083</c:v>
                </c:pt>
                <c:pt idx="710">
                  <c:v>520.10073051622703</c:v>
                </c:pt>
                <c:pt idx="711">
                  <c:v>520.99901083231748</c:v>
                </c:pt>
                <c:pt idx="712">
                  <c:v>521.89267933769258</c:v>
                </c:pt>
                <c:pt idx="713">
                  <c:v>522.78174028020192</c:v>
                </c:pt>
                <c:pt idx="714">
                  <c:v>523.66619819915923</c:v>
                </c:pt>
                <c:pt idx="715">
                  <c:v>524.54605792151222</c:v>
                </c:pt>
                <c:pt idx="716">
                  <c:v>525.42132455800697</c:v>
                </c:pt>
                <c:pt idx="717">
                  <c:v>526.29200349934933</c:v>
                </c:pt>
                <c:pt idx="718">
                  <c:v>527.15810041236364</c:v>
                </c:pt>
                <c:pt idx="719">
                  <c:v>528.01962123615078</c:v>
                </c:pt>
                <c:pt idx="720">
                  <c:v>528.87657217824551</c:v>
                </c:pt>
                <c:pt idx="721">
                  <c:v>529.72895971077548</c:v>
                </c:pt>
                <c:pt idx="722">
                  <c:v>530.57679056662187</c:v>
                </c:pt>
                <c:pt idx="723">
                  <c:v>531.42007173558341</c:v>
                </c:pt>
                <c:pt idx="724">
                  <c:v>532.25881046054462</c:v>
                </c:pt>
                <c:pt idx="725">
                  <c:v>533.09301423364934</c:v>
                </c:pt>
                <c:pt idx="726">
                  <c:v>533.92269079248001</c:v>
                </c:pt>
                <c:pt idx="727">
                  <c:v>534.74784811624488</c:v>
                </c:pt>
                <c:pt idx="728">
                  <c:v>535.56849442197267</c:v>
                </c:pt>
                <c:pt idx="729">
                  <c:v>536.38463816071646</c:v>
                </c:pt>
                <c:pt idx="730">
                  <c:v>537.19628801376746</c:v>
                </c:pt>
                <c:pt idx="731">
                  <c:v>538.00345288888013</c:v>
                </c:pt>
                <c:pt idx="732">
                  <c:v>538.80614191650807</c:v>
                </c:pt>
                <c:pt idx="733">
                  <c:v>539.60436444605307</c:v>
                </c:pt>
                <c:pt idx="734">
                  <c:v>540.39813004212715</c:v>
                </c:pt>
                <c:pt idx="735">
                  <c:v>541.18744848082906</c:v>
                </c:pt>
                <c:pt idx="736">
                  <c:v>541.97232974603548</c:v>
                </c:pt>
                <c:pt idx="737">
                  <c:v>542.75278402570746</c:v>
                </c:pt>
                <c:pt idx="738">
                  <c:v>543.52882170821397</c:v>
                </c:pt>
                <c:pt idx="739">
                  <c:v>544.30045337867205</c:v>
                </c:pt>
                <c:pt idx="740">
                  <c:v>545.06768981530467</c:v>
                </c:pt>
                <c:pt idx="741">
                  <c:v>545.8305419858176</c:v>
                </c:pt>
                <c:pt idx="742">
                  <c:v>546.58902104379433</c:v>
                </c:pt>
                <c:pt idx="743">
                  <c:v>547.34313832511179</c:v>
                </c:pt>
                <c:pt idx="744">
                  <c:v>548.09290534437571</c:v>
                </c:pt>
                <c:pt idx="745">
                  <c:v>548.83833379137695</c:v>
                </c:pt>
                <c:pt idx="746">
                  <c:v>549.57943552756956</c:v>
                </c:pt>
                <c:pt idx="747">
                  <c:v>550.31622258257039</c:v>
                </c:pt>
                <c:pt idx="748">
                  <c:v>551.04870715068205</c:v>
                </c:pt>
                <c:pt idx="749">
                  <c:v>551.77690158743769</c:v>
                </c:pt>
                <c:pt idx="750">
                  <c:v>552.50081840617065</c:v>
                </c:pt>
                <c:pt idx="751">
                  <c:v>553.22047027460712</c:v>
                </c:pt>
                <c:pt idx="752">
                  <c:v>553.93587001148353</c:v>
                </c:pt>
                <c:pt idx="753">
                  <c:v>554.64703058318912</c:v>
                </c:pt>
                <c:pt idx="754">
                  <c:v>555.35396510043358</c:v>
                </c:pt>
                <c:pt idx="755">
                  <c:v>556.05668681494024</c:v>
                </c:pt>
                <c:pt idx="756">
                  <c:v>556.7552091161657</c:v>
                </c:pt>
                <c:pt idx="757">
                  <c:v>557.44954552804575</c:v>
                </c:pt>
                <c:pt idx="758">
                  <c:v>558.13970970576793</c:v>
                </c:pt>
                <c:pt idx="759">
                  <c:v>558.82571543257131</c:v>
                </c:pt>
                <c:pt idx="760">
                  <c:v>559.50757661657394</c:v>
                </c:pt>
                <c:pt idx="761">
                  <c:v>560.18530728762767</c:v>
                </c:pt>
                <c:pt idx="762">
                  <c:v>560.85892159420132</c:v>
                </c:pt>
                <c:pt idx="763">
                  <c:v>561.52843380029185</c:v>
                </c:pt>
                <c:pt idx="764">
                  <c:v>562.1938582823642</c:v>
                </c:pt>
                <c:pt idx="765">
                  <c:v>562.85520952631987</c:v>
                </c:pt>
                <c:pt idx="766">
                  <c:v>563.51250212449452</c:v>
                </c:pt>
                <c:pt idx="767">
                  <c:v>564.16575077268465</c:v>
                </c:pt>
                <c:pt idx="768">
                  <c:v>564.81497026720388</c:v>
                </c:pt>
                <c:pt idx="769">
                  <c:v>565.46017550196871</c:v>
                </c:pt>
                <c:pt idx="770">
                  <c:v>566.10138146561349</c:v>
                </c:pt>
                <c:pt idx="771">
                  <c:v>566.73860323863619</c:v>
                </c:pt>
                <c:pt idx="772">
                  <c:v>567.37185599057341</c:v>
                </c:pt>
                <c:pt idx="773">
                  <c:v>568.00115497720594</c:v>
                </c:pt>
                <c:pt idx="774">
                  <c:v>568.62651553779426</c:v>
                </c:pt>
                <c:pt idx="775">
                  <c:v>568.62651553779426</c:v>
                </c:pt>
                <c:pt idx="776">
                  <c:v>568.62651553779426</c:v>
                </c:pt>
                <c:pt idx="777">
                  <c:v>568.62651553779426</c:v>
                </c:pt>
                <c:pt idx="778">
                  <c:v>568.62651553779426</c:v>
                </c:pt>
                <c:pt idx="779">
                  <c:v>568.62651553779426</c:v>
                </c:pt>
                <c:pt idx="780">
                  <c:v>568.62651553779426</c:v>
                </c:pt>
                <c:pt idx="781">
                  <c:v>568.62651553779426</c:v>
                </c:pt>
                <c:pt idx="782">
                  <c:v>568.62651553779426</c:v>
                </c:pt>
                <c:pt idx="783">
                  <c:v>568.62651553779426</c:v>
                </c:pt>
                <c:pt idx="784">
                  <c:v>568.62651553779426</c:v>
                </c:pt>
                <c:pt idx="785">
                  <c:v>568.62651553779426</c:v>
                </c:pt>
                <c:pt idx="786">
                  <c:v>568.62651553779426</c:v>
                </c:pt>
                <c:pt idx="787">
                  <c:v>568.62651553779426</c:v>
                </c:pt>
                <c:pt idx="788">
                  <c:v>568.62651553779426</c:v>
                </c:pt>
                <c:pt idx="789">
                  <c:v>568.62651553779426</c:v>
                </c:pt>
                <c:pt idx="790">
                  <c:v>568.62651553779426</c:v>
                </c:pt>
                <c:pt idx="791">
                  <c:v>568.62651553779426</c:v>
                </c:pt>
                <c:pt idx="792">
                  <c:v>568.62651553779426</c:v>
                </c:pt>
                <c:pt idx="793">
                  <c:v>568.62651553779426</c:v>
                </c:pt>
                <c:pt idx="794">
                  <c:v>568.62651553779426</c:v>
                </c:pt>
                <c:pt idx="795">
                  <c:v>568.62651553779426</c:v>
                </c:pt>
                <c:pt idx="796">
                  <c:v>568.62651553779426</c:v>
                </c:pt>
                <c:pt idx="797">
                  <c:v>568.62651553779426</c:v>
                </c:pt>
                <c:pt idx="798">
                  <c:v>568.62651553779426</c:v>
                </c:pt>
                <c:pt idx="799">
                  <c:v>568.62651553779426</c:v>
                </c:pt>
                <c:pt idx="800">
                  <c:v>568.62651553779426</c:v>
                </c:pt>
                <c:pt idx="801">
                  <c:v>568.62651553779426</c:v>
                </c:pt>
                <c:pt idx="802">
                  <c:v>568.62651553779426</c:v>
                </c:pt>
                <c:pt idx="803">
                  <c:v>568.62651553779426</c:v>
                </c:pt>
                <c:pt idx="804">
                  <c:v>568.62651553779426</c:v>
                </c:pt>
                <c:pt idx="805">
                  <c:v>568.62651553779426</c:v>
                </c:pt>
                <c:pt idx="806">
                  <c:v>568.62651553779426</c:v>
                </c:pt>
                <c:pt idx="807">
                  <c:v>568.62651553779426</c:v>
                </c:pt>
                <c:pt idx="808">
                  <c:v>568.62651553779426</c:v>
                </c:pt>
                <c:pt idx="809">
                  <c:v>568.62651553779426</c:v>
                </c:pt>
                <c:pt idx="810">
                  <c:v>568.62651553779426</c:v>
                </c:pt>
                <c:pt idx="811">
                  <c:v>568.62651553779426</c:v>
                </c:pt>
                <c:pt idx="812">
                  <c:v>568.62651553779426</c:v>
                </c:pt>
                <c:pt idx="813">
                  <c:v>568.62651553779426</c:v>
                </c:pt>
                <c:pt idx="814">
                  <c:v>568.62651553779426</c:v>
                </c:pt>
                <c:pt idx="815">
                  <c:v>568.62651553779426</c:v>
                </c:pt>
                <c:pt idx="816">
                  <c:v>568.62651553779426</c:v>
                </c:pt>
                <c:pt idx="817">
                  <c:v>568.62651553779426</c:v>
                </c:pt>
                <c:pt idx="818">
                  <c:v>568.62651553779426</c:v>
                </c:pt>
                <c:pt idx="819">
                  <c:v>568.62651553779426</c:v>
                </c:pt>
                <c:pt idx="820">
                  <c:v>568.62651553779426</c:v>
                </c:pt>
                <c:pt idx="821">
                  <c:v>568.62651553779426</c:v>
                </c:pt>
                <c:pt idx="822">
                  <c:v>568.62651553779426</c:v>
                </c:pt>
                <c:pt idx="823">
                  <c:v>568.62651553779426</c:v>
                </c:pt>
                <c:pt idx="824">
                  <c:v>568.62651553779426</c:v>
                </c:pt>
                <c:pt idx="825">
                  <c:v>568.62651553779426</c:v>
                </c:pt>
                <c:pt idx="826">
                  <c:v>568.62651553779426</c:v>
                </c:pt>
                <c:pt idx="827">
                  <c:v>568.62651553779426</c:v>
                </c:pt>
                <c:pt idx="828">
                  <c:v>568.62651553779426</c:v>
                </c:pt>
                <c:pt idx="829">
                  <c:v>568.62651553779426</c:v>
                </c:pt>
                <c:pt idx="830">
                  <c:v>568.62651553779426</c:v>
                </c:pt>
                <c:pt idx="831">
                  <c:v>568.62651553779426</c:v>
                </c:pt>
                <c:pt idx="832">
                  <c:v>568.62651553779426</c:v>
                </c:pt>
                <c:pt idx="833">
                  <c:v>568.62651553779426</c:v>
                </c:pt>
                <c:pt idx="834">
                  <c:v>568.62651553779426</c:v>
                </c:pt>
                <c:pt idx="835">
                  <c:v>568.62651553779426</c:v>
                </c:pt>
                <c:pt idx="836">
                  <c:v>568.62651553779426</c:v>
                </c:pt>
                <c:pt idx="837">
                  <c:v>568.62651553779426</c:v>
                </c:pt>
                <c:pt idx="838">
                  <c:v>568.62651553779426</c:v>
                </c:pt>
                <c:pt idx="839">
                  <c:v>568.62651553779426</c:v>
                </c:pt>
                <c:pt idx="840">
                  <c:v>568.62651553779426</c:v>
                </c:pt>
                <c:pt idx="841">
                  <c:v>568.62651553779426</c:v>
                </c:pt>
                <c:pt idx="842">
                  <c:v>568.62651553779426</c:v>
                </c:pt>
                <c:pt idx="843">
                  <c:v>568.62651553779426</c:v>
                </c:pt>
                <c:pt idx="844">
                  <c:v>568.62651553779426</c:v>
                </c:pt>
                <c:pt idx="845">
                  <c:v>568.62651553779426</c:v>
                </c:pt>
                <c:pt idx="846">
                  <c:v>568.62651553779426</c:v>
                </c:pt>
                <c:pt idx="847">
                  <c:v>568.62651553779426</c:v>
                </c:pt>
                <c:pt idx="848">
                  <c:v>568.62651553779426</c:v>
                </c:pt>
                <c:pt idx="849">
                  <c:v>568.62651553779426</c:v>
                </c:pt>
                <c:pt idx="850">
                  <c:v>568.62651553779426</c:v>
                </c:pt>
                <c:pt idx="851">
                  <c:v>568.62651553779426</c:v>
                </c:pt>
                <c:pt idx="852">
                  <c:v>568.62651553779426</c:v>
                </c:pt>
                <c:pt idx="853">
                  <c:v>568.62651553779426</c:v>
                </c:pt>
                <c:pt idx="854">
                  <c:v>568.62651553779426</c:v>
                </c:pt>
                <c:pt idx="855">
                  <c:v>568.62651553779426</c:v>
                </c:pt>
                <c:pt idx="856">
                  <c:v>568.62651553779426</c:v>
                </c:pt>
                <c:pt idx="857">
                  <c:v>568.62651553779426</c:v>
                </c:pt>
                <c:pt idx="858">
                  <c:v>568.62651553779426</c:v>
                </c:pt>
                <c:pt idx="859">
                  <c:v>568.62651553779426</c:v>
                </c:pt>
                <c:pt idx="860">
                  <c:v>568.62651553779426</c:v>
                </c:pt>
                <c:pt idx="861">
                  <c:v>568.62651553779426</c:v>
                </c:pt>
                <c:pt idx="862">
                  <c:v>568.62651553779426</c:v>
                </c:pt>
                <c:pt idx="863">
                  <c:v>568.62651553779426</c:v>
                </c:pt>
                <c:pt idx="864">
                  <c:v>568.62651553779426</c:v>
                </c:pt>
                <c:pt idx="865">
                  <c:v>568.62651553779426</c:v>
                </c:pt>
                <c:pt idx="866">
                  <c:v>568.62651553779426</c:v>
                </c:pt>
                <c:pt idx="867">
                  <c:v>568.62651553779426</c:v>
                </c:pt>
                <c:pt idx="868">
                  <c:v>568.62651553779426</c:v>
                </c:pt>
                <c:pt idx="869">
                  <c:v>568.62651553779426</c:v>
                </c:pt>
                <c:pt idx="870">
                  <c:v>568.62651553779426</c:v>
                </c:pt>
                <c:pt idx="871">
                  <c:v>568.62651553779426</c:v>
                </c:pt>
                <c:pt idx="872">
                  <c:v>568.62651553779426</c:v>
                </c:pt>
                <c:pt idx="873">
                  <c:v>568.62651553779426</c:v>
                </c:pt>
                <c:pt idx="874">
                  <c:v>568.62651553779426</c:v>
                </c:pt>
                <c:pt idx="875">
                  <c:v>568.62651553779426</c:v>
                </c:pt>
                <c:pt idx="876">
                  <c:v>568.62651553779426</c:v>
                </c:pt>
                <c:pt idx="877">
                  <c:v>568.62651553779426</c:v>
                </c:pt>
                <c:pt idx="878">
                  <c:v>568.62651553779426</c:v>
                </c:pt>
                <c:pt idx="879">
                  <c:v>568.62651553779426</c:v>
                </c:pt>
                <c:pt idx="880">
                  <c:v>568.62651553779426</c:v>
                </c:pt>
                <c:pt idx="881">
                  <c:v>568.62651553779426</c:v>
                </c:pt>
                <c:pt idx="882">
                  <c:v>568.62651553779426</c:v>
                </c:pt>
                <c:pt idx="883">
                  <c:v>568.62651553779426</c:v>
                </c:pt>
                <c:pt idx="884">
                  <c:v>568.62651553779426</c:v>
                </c:pt>
                <c:pt idx="885">
                  <c:v>568.62651553779426</c:v>
                </c:pt>
                <c:pt idx="886">
                  <c:v>568.62651553779426</c:v>
                </c:pt>
                <c:pt idx="887">
                  <c:v>568.62651553779426</c:v>
                </c:pt>
                <c:pt idx="888">
                  <c:v>568.62651553779426</c:v>
                </c:pt>
                <c:pt idx="889">
                  <c:v>568.62651553779426</c:v>
                </c:pt>
                <c:pt idx="890">
                  <c:v>568.62651553779426</c:v>
                </c:pt>
                <c:pt idx="891">
                  <c:v>568.62651553779426</c:v>
                </c:pt>
                <c:pt idx="892">
                  <c:v>568.62651553779426</c:v>
                </c:pt>
                <c:pt idx="893">
                  <c:v>568.62651553779426</c:v>
                </c:pt>
                <c:pt idx="894">
                  <c:v>568.62651553779426</c:v>
                </c:pt>
                <c:pt idx="895">
                  <c:v>568.62651553779426</c:v>
                </c:pt>
                <c:pt idx="896">
                  <c:v>568.62651553779426</c:v>
                </c:pt>
                <c:pt idx="897">
                  <c:v>568.62651553779426</c:v>
                </c:pt>
                <c:pt idx="898">
                  <c:v>568.62651553779426</c:v>
                </c:pt>
                <c:pt idx="899">
                  <c:v>568.62651553779426</c:v>
                </c:pt>
                <c:pt idx="900">
                  <c:v>568.62651553779426</c:v>
                </c:pt>
                <c:pt idx="901">
                  <c:v>568.62651553779426</c:v>
                </c:pt>
                <c:pt idx="902">
                  <c:v>568.62651553779426</c:v>
                </c:pt>
                <c:pt idx="903">
                  <c:v>568.62651553779426</c:v>
                </c:pt>
                <c:pt idx="904">
                  <c:v>568.62651553779426</c:v>
                </c:pt>
                <c:pt idx="905">
                  <c:v>568.62651553779426</c:v>
                </c:pt>
                <c:pt idx="906">
                  <c:v>568.62651553779426</c:v>
                </c:pt>
                <c:pt idx="907">
                  <c:v>568.62651553779426</c:v>
                </c:pt>
                <c:pt idx="908">
                  <c:v>568.62651553779426</c:v>
                </c:pt>
                <c:pt idx="909">
                  <c:v>568.62651553779426</c:v>
                </c:pt>
                <c:pt idx="910">
                  <c:v>568.62651553779426</c:v>
                </c:pt>
                <c:pt idx="911">
                  <c:v>568.62651553779426</c:v>
                </c:pt>
                <c:pt idx="912">
                  <c:v>568.62651553779426</c:v>
                </c:pt>
                <c:pt idx="913">
                  <c:v>568.62651553779426</c:v>
                </c:pt>
                <c:pt idx="914">
                  <c:v>568.62651553779426</c:v>
                </c:pt>
                <c:pt idx="915">
                  <c:v>568.62651553779426</c:v>
                </c:pt>
                <c:pt idx="916">
                  <c:v>568.62651553779426</c:v>
                </c:pt>
                <c:pt idx="917">
                  <c:v>568.62651553779426</c:v>
                </c:pt>
                <c:pt idx="918">
                  <c:v>568.62651553779426</c:v>
                </c:pt>
                <c:pt idx="919">
                  <c:v>568.62651553779426</c:v>
                </c:pt>
                <c:pt idx="920">
                  <c:v>568.62651553779426</c:v>
                </c:pt>
                <c:pt idx="921">
                  <c:v>568.62651553779426</c:v>
                </c:pt>
                <c:pt idx="922">
                  <c:v>568.62651553779426</c:v>
                </c:pt>
                <c:pt idx="923">
                  <c:v>568.62651553779426</c:v>
                </c:pt>
                <c:pt idx="924">
                  <c:v>568.62651553779426</c:v>
                </c:pt>
                <c:pt idx="925">
                  <c:v>568.62651553779426</c:v>
                </c:pt>
                <c:pt idx="926">
                  <c:v>568.62651553779426</c:v>
                </c:pt>
                <c:pt idx="927">
                  <c:v>568.62651553779426</c:v>
                </c:pt>
                <c:pt idx="928">
                  <c:v>568.62651553779426</c:v>
                </c:pt>
                <c:pt idx="929">
                  <c:v>568.62651553779426</c:v>
                </c:pt>
                <c:pt idx="930">
                  <c:v>568.62651553779426</c:v>
                </c:pt>
                <c:pt idx="931">
                  <c:v>568.62651553779426</c:v>
                </c:pt>
                <c:pt idx="932">
                  <c:v>568.62651553779426</c:v>
                </c:pt>
                <c:pt idx="933">
                  <c:v>568.62651553779426</c:v>
                </c:pt>
                <c:pt idx="934">
                  <c:v>568.62651553779426</c:v>
                </c:pt>
                <c:pt idx="935">
                  <c:v>568.62651553779426</c:v>
                </c:pt>
                <c:pt idx="936">
                  <c:v>568.62651553779426</c:v>
                </c:pt>
                <c:pt idx="937">
                  <c:v>568.62651553779426</c:v>
                </c:pt>
                <c:pt idx="938">
                  <c:v>568.62651553779426</c:v>
                </c:pt>
                <c:pt idx="939">
                  <c:v>568.62651553779426</c:v>
                </c:pt>
                <c:pt idx="940">
                  <c:v>568.62651553779426</c:v>
                </c:pt>
                <c:pt idx="941">
                  <c:v>568.62651553779426</c:v>
                </c:pt>
                <c:pt idx="942">
                  <c:v>568.62651553779426</c:v>
                </c:pt>
                <c:pt idx="943">
                  <c:v>568.62651553779426</c:v>
                </c:pt>
                <c:pt idx="944">
                  <c:v>568.62651553779426</c:v>
                </c:pt>
                <c:pt idx="945">
                  <c:v>568.62651553779426</c:v>
                </c:pt>
                <c:pt idx="946">
                  <c:v>568.62651553779426</c:v>
                </c:pt>
                <c:pt idx="947">
                  <c:v>568.62651553779426</c:v>
                </c:pt>
                <c:pt idx="948">
                  <c:v>568.62651553779426</c:v>
                </c:pt>
                <c:pt idx="949">
                  <c:v>568.62651553779426</c:v>
                </c:pt>
                <c:pt idx="950">
                  <c:v>568.62651553779426</c:v>
                </c:pt>
                <c:pt idx="951">
                  <c:v>568.62651553779426</c:v>
                </c:pt>
                <c:pt idx="952">
                  <c:v>568.62651553779426</c:v>
                </c:pt>
                <c:pt idx="953">
                  <c:v>568.62651553779426</c:v>
                </c:pt>
                <c:pt idx="954">
                  <c:v>568.62651553779426</c:v>
                </c:pt>
                <c:pt idx="955">
                  <c:v>568.62651553779426</c:v>
                </c:pt>
                <c:pt idx="956">
                  <c:v>568.62651553779426</c:v>
                </c:pt>
                <c:pt idx="957">
                  <c:v>568.62651553779426</c:v>
                </c:pt>
                <c:pt idx="958">
                  <c:v>568.62651553779426</c:v>
                </c:pt>
                <c:pt idx="959">
                  <c:v>568.62651553779426</c:v>
                </c:pt>
                <c:pt idx="960">
                  <c:v>568.62651553779426</c:v>
                </c:pt>
                <c:pt idx="961">
                  <c:v>568.62651553779426</c:v>
                </c:pt>
                <c:pt idx="962">
                  <c:v>568.62651553779426</c:v>
                </c:pt>
                <c:pt idx="963">
                  <c:v>568.62651553779426</c:v>
                </c:pt>
                <c:pt idx="964">
                  <c:v>568.62651553779426</c:v>
                </c:pt>
                <c:pt idx="965">
                  <c:v>568.62651553779426</c:v>
                </c:pt>
                <c:pt idx="966">
                  <c:v>568.62651553779426</c:v>
                </c:pt>
                <c:pt idx="967">
                  <c:v>568.62651553779426</c:v>
                </c:pt>
                <c:pt idx="968">
                  <c:v>568.62651553779426</c:v>
                </c:pt>
                <c:pt idx="969">
                  <c:v>568.62651553779426</c:v>
                </c:pt>
                <c:pt idx="970">
                  <c:v>568.62651553779426</c:v>
                </c:pt>
                <c:pt idx="971">
                  <c:v>568.62651553779426</c:v>
                </c:pt>
                <c:pt idx="972">
                  <c:v>568.62651553779426</c:v>
                </c:pt>
                <c:pt idx="973">
                  <c:v>568.62651553779426</c:v>
                </c:pt>
                <c:pt idx="974">
                  <c:v>568.62651553779426</c:v>
                </c:pt>
                <c:pt idx="975">
                  <c:v>568.62651553779426</c:v>
                </c:pt>
                <c:pt idx="976">
                  <c:v>568.62651553779426</c:v>
                </c:pt>
                <c:pt idx="977">
                  <c:v>568.62651553779426</c:v>
                </c:pt>
                <c:pt idx="978">
                  <c:v>568.62651553779426</c:v>
                </c:pt>
                <c:pt idx="979">
                  <c:v>568.62651553779426</c:v>
                </c:pt>
                <c:pt idx="980">
                  <c:v>568.62651553779426</c:v>
                </c:pt>
                <c:pt idx="981">
                  <c:v>568.62651553779426</c:v>
                </c:pt>
                <c:pt idx="982">
                  <c:v>568.62651553779426</c:v>
                </c:pt>
                <c:pt idx="983">
                  <c:v>568.62651553779426</c:v>
                </c:pt>
                <c:pt idx="984">
                  <c:v>568.62651553779426</c:v>
                </c:pt>
                <c:pt idx="985">
                  <c:v>568.62651553779426</c:v>
                </c:pt>
                <c:pt idx="986">
                  <c:v>568.62651553779426</c:v>
                </c:pt>
                <c:pt idx="987">
                  <c:v>568.62651553779426</c:v>
                </c:pt>
                <c:pt idx="988">
                  <c:v>568.62651553779426</c:v>
                </c:pt>
                <c:pt idx="989">
                  <c:v>568.62651553779426</c:v>
                </c:pt>
                <c:pt idx="990">
                  <c:v>568.62651553779426</c:v>
                </c:pt>
                <c:pt idx="991">
                  <c:v>568.62651553779426</c:v>
                </c:pt>
                <c:pt idx="992">
                  <c:v>568.62651553779426</c:v>
                </c:pt>
                <c:pt idx="993">
                  <c:v>568.62651553779426</c:v>
                </c:pt>
                <c:pt idx="994">
                  <c:v>568.62651553779426</c:v>
                </c:pt>
                <c:pt idx="995">
                  <c:v>568.62651553779426</c:v>
                </c:pt>
                <c:pt idx="996">
                  <c:v>568.62651553779426</c:v>
                </c:pt>
                <c:pt idx="997">
                  <c:v>568.62651553779426</c:v>
                </c:pt>
                <c:pt idx="998">
                  <c:v>568.62651553779426</c:v>
                </c:pt>
                <c:pt idx="999">
                  <c:v>568.62651553779426</c:v>
                </c:pt>
                <c:pt idx="1000">
                  <c:v>568.62651553779426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0-FB44-B75E-51812F6EEC8B}"/>
            </c:ext>
          </c:extLst>
        </c:ser>
        <c:ser>
          <c:idx val="1"/>
          <c:order val="1"/>
          <c:tx>
            <c:strRef>
              <c:f>Courbes!$B$143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37.800000000000225</c:v>
                </c:pt>
                <c:pt idx="739">
                  <c:v>37.900000000000226</c:v>
                </c:pt>
                <c:pt idx="740">
                  <c:v>38.000000000000227</c:v>
                </c:pt>
                <c:pt idx="741">
                  <c:v>38.100000000000229</c:v>
                </c:pt>
                <c:pt idx="742">
                  <c:v>38.20000000000023</c:v>
                </c:pt>
                <c:pt idx="743">
                  <c:v>38.300000000000232</c:v>
                </c:pt>
                <c:pt idx="744">
                  <c:v>38.400000000000233</c:v>
                </c:pt>
                <c:pt idx="745">
                  <c:v>38.500000000000234</c:v>
                </c:pt>
                <c:pt idx="746">
                  <c:v>38.600000000000236</c:v>
                </c:pt>
                <c:pt idx="747">
                  <c:v>38.700000000000237</c:v>
                </c:pt>
                <c:pt idx="748">
                  <c:v>38.800000000000239</c:v>
                </c:pt>
                <c:pt idx="749">
                  <c:v>38.90000000000024</c:v>
                </c:pt>
                <c:pt idx="750">
                  <c:v>39.000000000000242</c:v>
                </c:pt>
                <c:pt idx="751">
                  <c:v>39.100000000000243</c:v>
                </c:pt>
                <c:pt idx="752">
                  <c:v>39.200000000000244</c:v>
                </c:pt>
                <c:pt idx="753">
                  <c:v>39.300000000000246</c:v>
                </c:pt>
                <c:pt idx="754">
                  <c:v>39.400000000000247</c:v>
                </c:pt>
                <c:pt idx="755">
                  <c:v>39.500000000000249</c:v>
                </c:pt>
                <c:pt idx="756">
                  <c:v>39.60000000000025</c:v>
                </c:pt>
                <c:pt idx="757">
                  <c:v>39.700000000000252</c:v>
                </c:pt>
                <c:pt idx="758">
                  <c:v>39.800000000000253</c:v>
                </c:pt>
                <c:pt idx="759">
                  <c:v>39.900000000000254</c:v>
                </c:pt>
                <c:pt idx="760">
                  <c:v>40.000000000000256</c:v>
                </c:pt>
                <c:pt idx="761">
                  <c:v>40.100000000000257</c:v>
                </c:pt>
                <c:pt idx="762">
                  <c:v>40.200000000000259</c:v>
                </c:pt>
                <c:pt idx="763">
                  <c:v>40.30000000000026</c:v>
                </c:pt>
                <c:pt idx="764">
                  <c:v>40.400000000000261</c:v>
                </c:pt>
                <c:pt idx="765">
                  <c:v>40.500000000000263</c:v>
                </c:pt>
                <c:pt idx="766">
                  <c:v>40.600000000000264</c:v>
                </c:pt>
                <c:pt idx="767">
                  <c:v>40.700000000000266</c:v>
                </c:pt>
                <c:pt idx="768">
                  <c:v>40.800000000000267</c:v>
                </c:pt>
                <c:pt idx="769">
                  <c:v>40.900000000000269</c:v>
                </c:pt>
                <c:pt idx="770">
                  <c:v>41.00000000000027</c:v>
                </c:pt>
                <c:pt idx="771">
                  <c:v>41.100000000000271</c:v>
                </c:pt>
                <c:pt idx="772">
                  <c:v>41.200000000000273</c:v>
                </c:pt>
                <c:pt idx="773">
                  <c:v>41.300000000000274</c:v>
                </c:pt>
                <c:pt idx="774">
                  <c:v>41.400000000000276</c:v>
                </c:pt>
                <c:pt idx="775">
                  <c:v>41.400100000000279</c:v>
                </c:pt>
                <c:pt idx="776">
                  <c:v>41.400200000000282</c:v>
                </c:pt>
                <c:pt idx="777">
                  <c:v>41.400300000000286</c:v>
                </c:pt>
                <c:pt idx="778">
                  <c:v>41.400400000000289</c:v>
                </c:pt>
                <c:pt idx="779">
                  <c:v>41.400500000000292</c:v>
                </c:pt>
                <c:pt idx="780">
                  <c:v>41.400600000000296</c:v>
                </c:pt>
                <c:pt idx="781">
                  <c:v>41.400700000000299</c:v>
                </c:pt>
                <c:pt idx="782">
                  <c:v>41.400800000000302</c:v>
                </c:pt>
                <c:pt idx="783">
                  <c:v>41.400900000000306</c:v>
                </c:pt>
                <c:pt idx="784">
                  <c:v>41.401000000000309</c:v>
                </c:pt>
                <c:pt idx="785">
                  <c:v>41.401100000000312</c:v>
                </c:pt>
                <c:pt idx="786">
                  <c:v>41.401200000000316</c:v>
                </c:pt>
                <c:pt idx="787">
                  <c:v>41.401300000000319</c:v>
                </c:pt>
                <c:pt idx="788">
                  <c:v>41.401400000000322</c:v>
                </c:pt>
                <c:pt idx="789">
                  <c:v>41.401500000000325</c:v>
                </c:pt>
                <c:pt idx="790">
                  <c:v>41.401600000000329</c:v>
                </c:pt>
                <c:pt idx="791">
                  <c:v>41.401700000000332</c:v>
                </c:pt>
                <c:pt idx="792">
                  <c:v>41.401800000000335</c:v>
                </c:pt>
                <c:pt idx="793">
                  <c:v>41.401900000000339</c:v>
                </c:pt>
                <c:pt idx="794">
                  <c:v>41.402000000000342</c:v>
                </c:pt>
                <c:pt idx="795">
                  <c:v>41.402100000000345</c:v>
                </c:pt>
                <c:pt idx="796">
                  <c:v>41.402200000000349</c:v>
                </c:pt>
                <c:pt idx="797">
                  <c:v>41.402300000000352</c:v>
                </c:pt>
                <c:pt idx="798">
                  <c:v>41.402400000000355</c:v>
                </c:pt>
                <c:pt idx="799">
                  <c:v>41.402500000000359</c:v>
                </c:pt>
                <c:pt idx="800">
                  <c:v>41.402600000000362</c:v>
                </c:pt>
                <c:pt idx="801">
                  <c:v>41.402700000000365</c:v>
                </c:pt>
                <c:pt idx="802">
                  <c:v>41.402800000000369</c:v>
                </c:pt>
                <c:pt idx="803">
                  <c:v>41.402900000000372</c:v>
                </c:pt>
                <c:pt idx="804">
                  <c:v>41.403000000000375</c:v>
                </c:pt>
                <c:pt idx="805">
                  <c:v>41.403100000000379</c:v>
                </c:pt>
                <c:pt idx="806">
                  <c:v>41.403200000000382</c:v>
                </c:pt>
                <c:pt idx="807">
                  <c:v>41.403300000000385</c:v>
                </c:pt>
                <c:pt idx="808">
                  <c:v>41.403400000000389</c:v>
                </c:pt>
                <c:pt idx="809">
                  <c:v>41.403500000000392</c:v>
                </c:pt>
                <c:pt idx="810">
                  <c:v>41.403600000000395</c:v>
                </c:pt>
                <c:pt idx="811">
                  <c:v>41.403700000000399</c:v>
                </c:pt>
                <c:pt idx="812">
                  <c:v>41.403800000000402</c:v>
                </c:pt>
                <c:pt idx="813">
                  <c:v>41.403900000000405</c:v>
                </c:pt>
                <c:pt idx="814">
                  <c:v>41.404000000000408</c:v>
                </c:pt>
                <c:pt idx="815">
                  <c:v>41.404100000000412</c:v>
                </c:pt>
                <c:pt idx="816">
                  <c:v>41.404200000000415</c:v>
                </c:pt>
                <c:pt idx="817">
                  <c:v>41.404300000000418</c:v>
                </c:pt>
                <c:pt idx="818">
                  <c:v>41.404400000000422</c:v>
                </c:pt>
                <c:pt idx="819">
                  <c:v>41.404500000000425</c:v>
                </c:pt>
                <c:pt idx="820">
                  <c:v>41.404600000000428</c:v>
                </c:pt>
                <c:pt idx="821">
                  <c:v>41.404700000000432</c:v>
                </c:pt>
                <c:pt idx="822">
                  <c:v>41.404800000000435</c:v>
                </c:pt>
                <c:pt idx="823">
                  <c:v>41.404900000000438</c:v>
                </c:pt>
                <c:pt idx="824">
                  <c:v>41.405000000000442</c:v>
                </c:pt>
                <c:pt idx="825">
                  <c:v>41.405100000000445</c:v>
                </c:pt>
                <c:pt idx="826">
                  <c:v>41.405200000000448</c:v>
                </c:pt>
                <c:pt idx="827">
                  <c:v>41.405300000000452</c:v>
                </c:pt>
                <c:pt idx="828">
                  <c:v>41.405400000000455</c:v>
                </c:pt>
                <c:pt idx="829">
                  <c:v>41.405500000000458</c:v>
                </c:pt>
                <c:pt idx="830">
                  <c:v>41.405600000000462</c:v>
                </c:pt>
                <c:pt idx="831">
                  <c:v>41.405700000000465</c:v>
                </c:pt>
                <c:pt idx="832">
                  <c:v>41.405800000000468</c:v>
                </c:pt>
                <c:pt idx="833">
                  <c:v>41.405900000000472</c:v>
                </c:pt>
                <c:pt idx="834">
                  <c:v>41.406000000000475</c:v>
                </c:pt>
                <c:pt idx="835">
                  <c:v>41.406100000000478</c:v>
                </c:pt>
                <c:pt idx="836">
                  <c:v>41.406200000000482</c:v>
                </c:pt>
                <c:pt idx="837">
                  <c:v>41.406300000000485</c:v>
                </c:pt>
                <c:pt idx="838">
                  <c:v>41.406400000000488</c:v>
                </c:pt>
                <c:pt idx="839">
                  <c:v>41.406500000000491</c:v>
                </c:pt>
                <c:pt idx="840">
                  <c:v>41.406600000000495</c:v>
                </c:pt>
                <c:pt idx="841">
                  <c:v>41.406700000000498</c:v>
                </c:pt>
                <c:pt idx="842">
                  <c:v>41.406800000000501</c:v>
                </c:pt>
                <c:pt idx="843">
                  <c:v>41.406900000000505</c:v>
                </c:pt>
                <c:pt idx="844">
                  <c:v>41.407000000000508</c:v>
                </c:pt>
                <c:pt idx="845">
                  <c:v>41.407100000000511</c:v>
                </c:pt>
                <c:pt idx="846">
                  <c:v>41.407200000000515</c:v>
                </c:pt>
                <c:pt idx="847">
                  <c:v>41.407300000000518</c:v>
                </c:pt>
                <c:pt idx="848">
                  <c:v>41.407400000000521</c:v>
                </c:pt>
                <c:pt idx="849">
                  <c:v>41.407500000000525</c:v>
                </c:pt>
                <c:pt idx="850">
                  <c:v>41.407600000000528</c:v>
                </c:pt>
                <c:pt idx="851">
                  <c:v>41.407700000000531</c:v>
                </c:pt>
                <c:pt idx="852">
                  <c:v>41.407800000000535</c:v>
                </c:pt>
                <c:pt idx="853">
                  <c:v>41.407900000000538</c:v>
                </c:pt>
                <c:pt idx="854">
                  <c:v>41.408000000000541</c:v>
                </c:pt>
                <c:pt idx="855">
                  <c:v>41.408100000000545</c:v>
                </c:pt>
                <c:pt idx="856">
                  <c:v>41.408200000000548</c:v>
                </c:pt>
                <c:pt idx="857">
                  <c:v>41.408300000000551</c:v>
                </c:pt>
                <c:pt idx="858">
                  <c:v>41.408400000000555</c:v>
                </c:pt>
                <c:pt idx="859">
                  <c:v>41.408500000000558</c:v>
                </c:pt>
                <c:pt idx="860">
                  <c:v>41.408600000000561</c:v>
                </c:pt>
                <c:pt idx="861">
                  <c:v>41.408700000000565</c:v>
                </c:pt>
                <c:pt idx="862">
                  <c:v>41.408800000000568</c:v>
                </c:pt>
                <c:pt idx="863">
                  <c:v>41.408900000000571</c:v>
                </c:pt>
                <c:pt idx="864">
                  <c:v>41.409000000000574</c:v>
                </c:pt>
                <c:pt idx="865">
                  <c:v>41.409100000000578</c:v>
                </c:pt>
                <c:pt idx="866">
                  <c:v>41.409200000000581</c:v>
                </c:pt>
                <c:pt idx="867">
                  <c:v>41.409300000000584</c:v>
                </c:pt>
                <c:pt idx="868">
                  <c:v>41.409400000000588</c:v>
                </c:pt>
                <c:pt idx="869">
                  <c:v>41.409500000000591</c:v>
                </c:pt>
                <c:pt idx="870">
                  <c:v>41.409600000000594</c:v>
                </c:pt>
                <c:pt idx="871">
                  <c:v>41.409700000000598</c:v>
                </c:pt>
                <c:pt idx="872">
                  <c:v>41.409800000000601</c:v>
                </c:pt>
                <c:pt idx="873">
                  <c:v>41.409900000000604</c:v>
                </c:pt>
                <c:pt idx="874">
                  <c:v>41.410000000000608</c:v>
                </c:pt>
                <c:pt idx="875">
                  <c:v>41.410100000000611</c:v>
                </c:pt>
                <c:pt idx="876">
                  <c:v>41.410200000000614</c:v>
                </c:pt>
                <c:pt idx="877">
                  <c:v>41.410300000000618</c:v>
                </c:pt>
                <c:pt idx="878">
                  <c:v>41.410400000000621</c:v>
                </c:pt>
                <c:pt idx="879">
                  <c:v>41.410500000000624</c:v>
                </c:pt>
                <c:pt idx="880">
                  <c:v>41.410600000000628</c:v>
                </c:pt>
                <c:pt idx="881">
                  <c:v>41.410700000000631</c:v>
                </c:pt>
                <c:pt idx="882">
                  <c:v>41.410800000000634</c:v>
                </c:pt>
                <c:pt idx="883">
                  <c:v>41.410900000000638</c:v>
                </c:pt>
                <c:pt idx="884">
                  <c:v>41.411000000000641</c:v>
                </c:pt>
                <c:pt idx="885">
                  <c:v>41.411100000000644</c:v>
                </c:pt>
                <c:pt idx="886">
                  <c:v>41.411200000000647</c:v>
                </c:pt>
                <c:pt idx="887">
                  <c:v>41.411300000000651</c:v>
                </c:pt>
                <c:pt idx="888">
                  <c:v>41.411400000000654</c:v>
                </c:pt>
                <c:pt idx="889">
                  <c:v>41.411500000000657</c:v>
                </c:pt>
                <c:pt idx="890">
                  <c:v>41.411600000000661</c:v>
                </c:pt>
                <c:pt idx="891">
                  <c:v>41.411700000000664</c:v>
                </c:pt>
                <c:pt idx="892">
                  <c:v>41.411800000000667</c:v>
                </c:pt>
                <c:pt idx="893">
                  <c:v>41.411900000000671</c:v>
                </c:pt>
                <c:pt idx="894">
                  <c:v>41.412000000000674</c:v>
                </c:pt>
                <c:pt idx="895">
                  <c:v>41.412100000000677</c:v>
                </c:pt>
                <c:pt idx="896">
                  <c:v>41.412200000000681</c:v>
                </c:pt>
                <c:pt idx="897">
                  <c:v>41.412300000000684</c:v>
                </c:pt>
                <c:pt idx="898">
                  <c:v>41.412400000000687</c:v>
                </c:pt>
                <c:pt idx="899">
                  <c:v>41.412500000000691</c:v>
                </c:pt>
                <c:pt idx="900">
                  <c:v>41.412600000000694</c:v>
                </c:pt>
                <c:pt idx="901">
                  <c:v>41.412700000000697</c:v>
                </c:pt>
                <c:pt idx="902">
                  <c:v>41.412800000000701</c:v>
                </c:pt>
                <c:pt idx="903">
                  <c:v>41.412900000000704</c:v>
                </c:pt>
                <c:pt idx="904">
                  <c:v>41.413000000000707</c:v>
                </c:pt>
                <c:pt idx="905">
                  <c:v>41.413100000000711</c:v>
                </c:pt>
                <c:pt idx="906">
                  <c:v>41.413200000000714</c:v>
                </c:pt>
                <c:pt idx="907">
                  <c:v>41.413300000000717</c:v>
                </c:pt>
                <c:pt idx="908">
                  <c:v>41.413400000000721</c:v>
                </c:pt>
                <c:pt idx="909">
                  <c:v>41.413500000000724</c:v>
                </c:pt>
                <c:pt idx="910">
                  <c:v>41.413600000000727</c:v>
                </c:pt>
                <c:pt idx="911">
                  <c:v>41.41370000000073</c:v>
                </c:pt>
                <c:pt idx="912">
                  <c:v>41.413800000000734</c:v>
                </c:pt>
                <c:pt idx="913">
                  <c:v>41.413900000000737</c:v>
                </c:pt>
                <c:pt idx="914">
                  <c:v>41.41400000000074</c:v>
                </c:pt>
                <c:pt idx="915">
                  <c:v>41.414100000000744</c:v>
                </c:pt>
                <c:pt idx="916">
                  <c:v>41.414200000000747</c:v>
                </c:pt>
                <c:pt idx="917">
                  <c:v>41.41430000000075</c:v>
                </c:pt>
                <c:pt idx="918">
                  <c:v>41.414400000000754</c:v>
                </c:pt>
                <c:pt idx="919">
                  <c:v>41.414500000000757</c:v>
                </c:pt>
                <c:pt idx="920">
                  <c:v>41.41460000000076</c:v>
                </c:pt>
                <c:pt idx="921">
                  <c:v>41.414700000000764</c:v>
                </c:pt>
                <c:pt idx="922">
                  <c:v>41.414800000000767</c:v>
                </c:pt>
                <c:pt idx="923">
                  <c:v>41.41490000000077</c:v>
                </c:pt>
                <c:pt idx="924">
                  <c:v>41.415000000000774</c:v>
                </c:pt>
                <c:pt idx="925">
                  <c:v>41.415100000000777</c:v>
                </c:pt>
                <c:pt idx="926">
                  <c:v>41.41520000000078</c:v>
                </c:pt>
                <c:pt idx="927">
                  <c:v>41.415300000000784</c:v>
                </c:pt>
                <c:pt idx="928">
                  <c:v>41.415400000000787</c:v>
                </c:pt>
                <c:pt idx="929">
                  <c:v>41.41550000000079</c:v>
                </c:pt>
                <c:pt idx="930">
                  <c:v>41.415600000000794</c:v>
                </c:pt>
                <c:pt idx="931">
                  <c:v>41.415700000000797</c:v>
                </c:pt>
                <c:pt idx="932">
                  <c:v>41.4158000000008</c:v>
                </c:pt>
                <c:pt idx="933">
                  <c:v>41.415900000000804</c:v>
                </c:pt>
                <c:pt idx="934">
                  <c:v>41.416000000000807</c:v>
                </c:pt>
                <c:pt idx="935">
                  <c:v>41.41610000000081</c:v>
                </c:pt>
                <c:pt idx="936">
                  <c:v>41.416200000000813</c:v>
                </c:pt>
                <c:pt idx="937">
                  <c:v>41.416300000000817</c:v>
                </c:pt>
                <c:pt idx="938">
                  <c:v>41.41640000000082</c:v>
                </c:pt>
                <c:pt idx="939">
                  <c:v>41.416500000000823</c:v>
                </c:pt>
                <c:pt idx="940">
                  <c:v>41.416600000000827</c:v>
                </c:pt>
                <c:pt idx="941">
                  <c:v>41.41670000000083</c:v>
                </c:pt>
                <c:pt idx="942">
                  <c:v>41.416800000000833</c:v>
                </c:pt>
                <c:pt idx="943">
                  <c:v>41.416900000000837</c:v>
                </c:pt>
                <c:pt idx="944">
                  <c:v>41.41700000000084</c:v>
                </c:pt>
                <c:pt idx="945">
                  <c:v>41.417100000000843</c:v>
                </c:pt>
                <c:pt idx="946">
                  <c:v>41.417200000000847</c:v>
                </c:pt>
                <c:pt idx="947">
                  <c:v>41.41730000000085</c:v>
                </c:pt>
                <c:pt idx="948">
                  <c:v>41.417400000000853</c:v>
                </c:pt>
                <c:pt idx="949">
                  <c:v>41.417500000000857</c:v>
                </c:pt>
                <c:pt idx="950">
                  <c:v>41.41760000000086</c:v>
                </c:pt>
                <c:pt idx="951">
                  <c:v>41.417700000000863</c:v>
                </c:pt>
                <c:pt idx="952">
                  <c:v>41.417800000000867</c:v>
                </c:pt>
                <c:pt idx="953">
                  <c:v>41.41790000000087</c:v>
                </c:pt>
                <c:pt idx="954">
                  <c:v>41.418000000000873</c:v>
                </c:pt>
                <c:pt idx="955">
                  <c:v>41.418100000000877</c:v>
                </c:pt>
                <c:pt idx="956">
                  <c:v>41.41820000000088</c:v>
                </c:pt>
                <c:pt idx="957">
                  <c:v>41.418300000000883</c:v>
                </c:pt>
                <c:pt idx="958">
                  <c:v>41.418400000000887</c:v>
                </c:pt>
                <c:pt idx="959">
                  <c:v>41.41850000000089</c:v>
                </c:pt>
                <c:pt idx="960">
                  <c:v>41.418600000000893</c:v>
                </c:pt>
                <c:pt idx="961">
                  <c:v>41.418700000000896</c:v>
                </c:pt>
                <c:pt idx="962">
                  <c:v>41.4188000000009</c:v>
                </c:pt>
                <c:pt idx="963">
                  <c:v>41.418900000000903</c:v>
                </c:pt>
                <c:pt idx="964">
                  <c:v>41.419000000000906</c:v>
                </c:pt>
                <c:pt idx="965">
                  <c:v>41.41910000000091</c:v>
                </c:pt>
                <c:pt idx="966">
                  <c:v>41.419200000000913</c:v>
                </c:pt>
                <c:pt idx="967">
                  <c:v>41.419300000000916</c:v>
                </c:pt>
                <c:pt idx="968">
                  <c:v>41.41940000000092</c:v>
                </c:pt>
                <c:pt idx="969">
                  <c:v>41.419500000000923</c:v>
                </c:pt>
                <c:pt idx="970">
                  <c:v>41.419600000000926</c:v>
                </c:pt>
                <c:pt idx="971">
                  <c:v>41.41970000000093</c:v>
                </c:pt>
                <c:pt idx="972">
                  <c:v>41.419800000000933</c:v>
                </c:pt>
                <c:pt idx="973">
                  <c:v>41.419900000000936</c:v>
                </c:pt>
                <c:pt idx="974">
                  <c:v>41.42000000000094</c:v>
                </c:pt>
                <c:pt idx="975">
                  <c:v>41.420100000000943</c:v>
                </c:pt>
                <c:pt idx="976">
                  <c:v>41.420200000000946</c:v>
                </c:pt>
                <c:pt idx="977">
                  <c:v>41.42030000000095</c:v>
                </c:pt>
                <c:pt idx="978">
                  <c:v>41.420400000000953</c:v>
                </c:pt>
                <c:pt idx="979">
                  <c:v>41.420500000000956</c:v>
                </c:pt>
                <c:pt idx="980">
                  <c:v>41.42060000000096</c:v>
                </c:pt>
                <c:pt idx="981">
                  <c:v>41.420700000000963</c:v>
                </c:pt>
                <c:pt idx="982">
                  <c:v>41.420800000000966</c:v>
                </c:pt>
                <c:pt idx="983">
                  <c:v>41.420900000000969</c:v>
                </c:pt>
                <c:pt idx="984">
                  <c:v>41.421000000000973</c:v>
                </c:pt>
                <c:pt idx="985">
                  <c:v>41.421100000000976</c:v>
                </c:pt>
                <c:pt idx="986">
                  <c:v>41.421200000000979</c:v>
                </c:pt>
                <c:pt idx="987">
                  <c:v>41.421300000000983</c:v>
                </c:pt>
                <c:pt idx="988">
                  <c:v>41.421400000000986</c:v>
                </c:pt>
                <c:pt idx="989">
                  <c:v>41.421500000000989</c:v>
                </c:pt>
                <c:pt idx="990">
                  <c:v>41.421600000000993</c:v>
                </c:pt>
                <c:pt idx="991">
                  <c:v>41.421700000000996</c:v>
                </c:pt>
                <c:pt idx="992">
                  <c:v>41.421800000000999</c:v>
                </c:pt>
                <c:pt idx="993">
                  <c:v>41.421900000001003</c:v>
                </c:pt>
                <c:pt idx="994">
                  <c:v>41.422000000001006</c:v>
                </c:pt>
                <c:pt idx="995">
                  <c:v>41.422100000001009</c:v>
                </c:pt>
                <c:pt idx="996">
                  <c:v>41.422200000001013</c:v>
                </c:pt>
                <c:pt idx="997">
                  <c:v>41.422300000001016</c:v>
                </c:pt>
                <c:pt idx="998">
                  <c:v>41.422400000001019</c:v>
                </c:pt>
                <c:pt idx="999">
                  <c:v>41.422500000001023</c:v>
                </c:pt>
                <c:pt idx="1000">
                  <c:v>41.422600000001026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1.3233354686966879E-4</c:v>
                </c:pt>
                <c:pt idx="2">
                  <c:v>1.7678971011637825E-3</c:v>
                </c:pt>
                <c:pt idx="3">
                  <c:v>7.3846649585392532E-3</c:v>
                </c:pt>
                <c:pt idx="4">
                  <c:v>1.9462765294790782E-2</c:v>
                </c:pt>
                <c:pt idx="5">
                  <c:v>4.0485388323537631E-2</c:v>
                </c:pt>
                <c:pt idx="6">
                  <c:v>7.2311495227104908E-2</c:v>
                </c:pt>
                <c:pt idx="7">
                  <c:v>0.11554661406552218</c:v>
                </c:pt>
                <c:pt idx="8">
                  <c:v>0.17016875077340787</c:v>
                </c:pt>
                <c:pt idx="9">
                  <c:v>0.23615576217981632</c:v>
                </c:pt>
                <c:pt idx="10">
                  <c:v>0.3134853564423159</c:v>
                </c:pt>
                <c:pt idx="11">
                  <c:v>0.40213509348839366</c:v>
                </c:pt>
                <c:pt idx="12">
                  <c:v>0.5020823854641463</c:v>
                </c:pt>
                <c:pt idx="13">
                  <c:v>0.61330449719021651</c:v>
                </c:pt>
                <c:pt idx="14">
                  <c:v>0.73577854662493314</c:v>
                </c:pt>
                <c:pt idx="15">
                  <c:v>0.86948150533461188</c:v>
                </c:pt>
                <c:pt idx="16">
                  <c:v>1.0143901989709738</c:v>
                </c:pt>
                <c:pt idx="17">
                  <c:v>1.1704813077556369</c:v>
                </c:pt>
                <c:pt idx="18">
                  <c:v>1.3377313669716355</c:v>
                </c:pt>
                <c:pt idx="19">
                  <c:v>1.5161167674619227</c:v>
                </c:pt>
                <c:pt idx="20">
                  <c:v>1.705613756134807</c:v>
                </c:pt>
                <c:pt idx="21">
                  <c:v>1.9061984364762792</c:v>
                </c:pt>
                <c:pt idx="22">
                  <c:v>2.1178467690691769</c:v>
                </c:pt>
                <c:pt idx="23">
                  <c:v>2.3405345721191422</c:v>
                </c:pt>
                <c:pt idx="24">
                  <c:v>2.5742375219873179</c:v>
                </c:pt>
                <c:pt idx="25">
                  <c:v>2.8189311537297388</c:v>
                </c:pt>
                <c:pt idx="26">
                  <c:v>3.0745908616433573</c:v>
                </c:pt>
                <c:pt idx="27">
                  <c:v>3.3411918998186607</c:v>
                </c:pt>
                <c:pt idx="28">
                  <c:v>3.6187093826988224</c:v>
                </c:pt>
                <c:pt idx="29">
                  <c:v>3.9071182856453341</c:v>
                </c:pt>
                <c:pt idx="30">
                  <c:v>4.2063934455100664</c:v>
                </c:pt>
                <c:pt idx="31">
                  <c:v>4.5165058330928476</c:v>
                </c:pt>
                <c:pt idx="32">
                  <c:v>4.8374261449249225</c:v>
                </c:pt>
                <c:pt idx="33">
                  <c:v>5.1691285340213797</c:v>
                </c:pt>
                <c:pt idx="34">
                  <c:v>5.5115870234091933</c:v>
                </c:pt>
                <c:pt idx="35">
                  <c:v>5.8647755085918361</c:v>
                </c:pt>
                <c:pt idx="36">
                  <c:v>6.2286677577231684</c:v>
                </c:pt>
                <c:pt idx="37">
                  <c:v>6.6032374118248418</c:v>
                </c:pt>
                <c:pt idx="38">
                  <c:v>6.9884579850429116</c:v>
                </c:pt>
                <c:pt idx="39">
                  <c:v>7.3843028649399383</c:v>
                </c:pt>
                <c:pt idx="40">
                  <c:v>7.7907453128193618</c:v>
                </c:pt>
                <c:pt idx="41">
                  <c:v>8.207758464079328</c:v>
                </c:pt>
                <c:pt idx="42">
                  <c:v>8.6353153285935189</c:v>
                </c:pt>
                <c:pt idx="43">
                  <c:v>9.0733887911168214</c:v>
                </c:pt>
                <c:pt idx="44">
                  <c:v>9.5219516117139342</c:v>
                </c:pt>
                <c:pt idx="45">
                  <c:v>9.9809764262092102</c:v>
                </c:pt>
                <c:pt idx="46">
                  <c:v>10.45043574665625</c:v>
                </c:pt>
                <c:pt idx="47">
                  <c:v>10.930301961825897</c:v>
                </c:pt>
                <c:pt idx="48">
                  <c:v>11.420547337711429</c:v>
                </c:pt>
                <c:pt idx="49">
                  <c:v>11.921144018049887</c:v>
                </c:pt>
                <c:pt idx="50">
                  <c:v>12.432064024858539</c:v>
                </c:pt>
                <c:pt idx="51">
                  <c:v>12.953282582380416</c:v>
                </c:pt>
                <c:pt idx="52">
                  <c:v>13.484781447029643</c:v>
                </c:pt>
                <c:pt idx="53">
                  <c:v>14.026545592720122</c:v>
                </c:pt>
                <c:pt idx="54">
                  <c:v>14.578559890023286</c:v>
                </c:pt>
                <c:pt idx="55">
                  <c:v>15.140809106374764</c:v>
                </c:pt>
                <c:pt idx="56">
                  <c:v>15.713277906290934</c:v>
                </c:pt>
                <c:pt idx="57">
                  <c:v>16.295950851594956</c:v>
                </c:pt>
                <c:pt idx="58">
                  <c:v>16.888812401651926</c:v>
                </c:pt>
                <c:pt idx="59">
                  <c:v>17.49184691361279</c:v>
                </c:pt>
                <c:pt idx="60">
                  <c:v>18.105038642666727</c:v>
                </c:pt>
                <c:pt idx="61">
                  <c:v>18.728371742301682</c:v>
                </c:pt>
                <c:pt idx="62">
                  <c:v>19.361830264572792</c:v>
                </c:pt>
                <c:pt idx="63">
                  <c:v>20.005398160378441</c:v>
                </c:pt>
                <c:pt idx="64">
                  <c:v>20.659059279743751</c:v>
                </c:pt>
                <c:pt idx="65">
                  <c:v>21.322797372111214</c:v>
                </c:pt>
                <c:pt idx="66">
                  <c:v>21.996596086638341</c:v>
                </c:pt>
                <c:pt idx="67">
                  <c:v>22.680438972502074</c:v>
                </c:pt>
                <c:pt idx="68">
                  <c:v>23.37430947920981</c:v>
                </c:pt>
                <c:pt idx="69">
                  <c:v>24.078190956916874</c:v>
                </c:pt>
                <c:pt idx="70">
                  <c:v>24.792066656750261</c:v>
                </c:pt>
                <c:pt idx="71">
                  <c:v>25.515919731138499</c:v>
                </c:pt>
                <c:pt idx="72">
                  <c:v>26.249733234147506</c:v>
                </c:pt>
                <c:pt idx="73">
                  <c:v>26.99349012182228</c:v>
                </c:pt>
                <c:pt idx="74">
                  <c:v>27.747173252534331</c:v>
                </c:pt>
                <c:pt idx="75">
                  <c:v>28.510765387334679</c:v>
                </c:pt>
                <c:pt idx="76">
                  <c:v>29.284249190312352</c:v>
                </c:pt>
                <c:pt idx="77">
                  <c:v>30.067607228958231</c:v>
                </c:pt>
                <c:pt idx="78">
                  <c:v>30.860821974534179</c:v>
                </c:pt>
                <c:pt idx="79">
                  <c:v>31.663875802447297</c:v>
                </c:pt>
                <c:pt idx="80">
                  <c:v>32.476750992629256</c:v>
                </c:pt>
                <c:pt idx="81">
                  <c:v>33.299429729920583</c:v>
                </c:pt>
                <c:pt idx="82">
                  <c:v>34.131894104459818</c:v>
                </c:pt>
                <c:pt idx="83">
                  <c:v>34.97412611207745</c:v>
                </c:pt>
                <c:pt idx="84">
                  <c:v>35.826107654694546</c:v>
                </c:pt>
                <c:pt idx="85">
                  <c:v>36.687820540726001</c:v>
                </c:pt>
                <c:pt idx="86">
                  <c:v>37.559246485488302</c:v>
                </c:pt>
                <c:pt idx="87">
                  <c:v>38.440367111611778</c:v>
                </c:pt>
                <c:pt idx="88">
                  <c:v>39.331163949457171</c:v>
                </c:pt>
                <c:pt idx="89">
                  <c:v>40.231618437536575</c:v>
                </c:pt>
                <c:pt idx="90">
                  <c:v>41.141711922938555</c:v>
                </c:pt>
                <c:pt idx="91">
                  <c:v>42.061425661757454</c:v>
                </c:pt>
                <c:pt idx="92">
                  <c:v>42.990740819526756</c:v>
                </c:pt>
                <c:pt idx="93">
                  <c:v>43.929638471656531</c:v>
                </c:pt>
                <c:pt idx="94">
                  <c:v>44.878099603874766</c:v>
                </c:pt>
                <c:pt idx="95">
                  <c:v>45.836105112672634</c:v>
                </c:pt>
                <c:pt idx="96">
                  <c:v>46.803635805753579</c:v>
                </c:pt>
                <c:pt idx="97">
                  <c:v>47.780672402486154</c:v>
                </c:pt>
                <c:pt idx="98">
                  <c:v>48.767195534360567</c:v>
                </c:pt>
                <c:pt idx="99">
                  <c:v>49.76318574544888</c:v>
                </c:pt>
                <c:pt idx="100">
                  <c:v>50.76862349286877</c:v>
                </c:pt>
                <c:pt idx="101">
                  <c:v>51.783487606594051</c:v>
                </c:pt>
                <c:pt idx="102">
                  <c:v>52.807753747314081</c:v>
                </c:pt>
                <c:pt idx="103">
                  <c:v>53.841395945364965</c:v>
                </c:pt>
                <c:pt idx="104">
                  <c:v>54.884388141708492</c:v>
                </c:pt>
                <c:pt idx="105">
                  <c:v>55.936704188592621</c:v>
                </c:pt>
                <c:pt idx="106">
                  <c:v>56.998317850215017</c:v>
                </c:pt>
                <c:pt idx="107">
                  <c:v>58.069202803389466</c:v>
                </c:pt>
                <c:pt idx="108">
                  <c:v>59.149332638215199</c:v>
                </c:pt>
                <c:pt idx="109">
                  <c:v>60.238680858748971</c:v>
                </c:pt>
                <c:pt idx="110">
                  <c:v>61.337220883679876</c:v>
                </c:pt>
                <c:pt idx="111">
                  <c:v>62.444926047006803</c:v>
                </c:pt>
                <c:pt idx="112">
                  <c:v>63.561769598718449</c:v>
                </c:pt>
                <c:pt idx="113">
                  <c:v>64.68772470547583</c:v>
                </c:pt>
                <c:pt idx="114">
                  <c:v>65.822764451297246</c:v>
                </c:pt>
                <c:pt idx="115">
                  <c:v>66.966861838245549</c:v>
                </c:pt>
                <c:pt idx="116">
                  <c:v>68.11998978711776</c:v>
                </c:pt>
                <c:pt idx="117">
                  <c:v>69.282121138136816</c:v>
                </c:pt>
                <c:pt idx="118">
                  <c:v>70.453228651645574</c:v>
                </c:pt>
                <c:pt idx="119">
                  <c:v>71.633285008802815</c:v>
                </c:pt>
                <c:pt idx="120">
                  <c:v>72.822262812281238</c:v>
                </c:pt>
                <c:pt idx="121">
                  <c:v>74.020134586967501</c:v>
                </c:pt>
                <c:pt idx="122">
                  <c:v>75.22687278066401</c:v>
                </c:pt>
                <c:pt idx="123">
                  <c:v>76.442449764792599</c:v>
                </c:pt>
                <c:pt idx="124">
                  <c:v>77.666837835099912</c:v>
                </c:pt>
                <c:pt idx="125">
                  <c:v>78.900009212364466</c:v>
                </c:pt>
                <c:pt idx="126">
                  <c:v>80.141936043105346</c:v>
                </c:pt>
                <c:pt idx="127">
                  <c:v>81.392590400292406</c:v>
                </c:pt>
                <c:pt idx="128">
                  <c:v>82.651944284057933</c:v>
                </c:pt>
                <c:pt idx="129">
                  <c:v>83.919969622409795</c:v>
                </c:pt>
                <c:pt idx="130">
                  <c:v>85.196638271945858</c:v>
                </c:pt>
                <c:pt idx="131">
                  <c:v>86.481922018569733</c:v>
                </c:pt>
                <c:pt idx="132">
                  <c:v>87.775792578207728</c:v>
                </c:pt>
                <c:pt idx="133">
                  <c:v>89.07822159752692</c:v>
                </c:pt>
                <c:pt idx="134">
                  <c:v>90.38918065465441</c:v>
                </c:pt>
                <c:pt idx="135">
                  <c:v>91.708641259897504</c:v>
                </c:pt>
                <c:pt idx="136">
                  <c:v>93.036574856464924</c:v>
                </c:pt>
                <c:pt idx="137">
                  <c:v>94.372952821188889</c:v>
                </c:pt>
                <c:pt idx="138">
                  <c:v>95.717746465248098</c:v>
                </c:pt>
                <c:pt idx="139">
                  <c:v>97.070927034891398</c:v>
                </c:pt>
                <c:pt idx="140">
                  <c:v>98.432465712162269</c:v>
                </c:pt>
                <c:pt idx="141">
                  <c:v>99.80233361562388</c:v>
                </c:pt>
                <c:pt idx="142">
                  <c:v>101.18050180108484</c:v>
                </c:pt>
                <c:pt idx="143">
                  <c:v>102.56694126232541</c:v>
                </c:pt>
                <c:pt idx="144">
                  <c:v>103.96162293182422</c:v>
                </c:pt>
                <c:pt idx="145">
                  <c:v>105.36451768148538</c:v>
                </c:pt>
                <c:pt idx="146">
                  <c:v>106.77559632336603</c:v>
                </c:pt>
                <c:pt idx="147">
                  <c:v>108.19482961040408</c:v>
                </c:pt>
                <c:pt idx="148">
                  <c:v>109.62218823714632</c:v>
                </c:pt>
                <c:pt idx="149">
                  <c:v>111.05764284047656</c:v>
                </c:pt>
                <c:pt idx="150">
                  <c:v>112.50116400034405</c:v>
                </c:pt>
                <c:pt idx="151">
                  <c:v>113.95272276739166</c:v>
                </c:pt>
                <c:pt idx="152">
                  <c:v>115.41229119093816</c:v>
                </c:pt>
                <c:pt idx="153">
                  <c:v>116.87984179297801</c:v>
                </c:pt>
                <c:pt idx="154">
                  <c:v>118.35534704179793</c:v>
                </c:pt>
                <c:pt idx="155">
                  <c:v>119.83877935264707</c:v>
                </c:pt>
                <c:pt idx="156">
                  <c:v>121.33011108840719</c:v>
                </c:pt>
                <c:pt idx="157">
                  <c:v>122.8293145602629</c:v>
                </c:pt>
                <c:pt idx="158">
                  <c:v>124.33636202837172</c:v>
                </c:pt>
                <c:pt idx="159">
                  <c:v>125.85122570253425</c:v>
                </c:pt>
                <c:pt idx="160">
                  <c:v>127.37387774286398</c:v>
                </c:pt>
                <c:pt idx="161">
                  <c:v>128.90429026045709</c:v>
                </c:pt>
                <c:pt idx="162">
                  <c:v>130.44243531806183</c:v>
                </c:pt>
                <c:pt idx="163">
                  <c:v>131.98828493074782</c:v>
                </c:pt>
                <c:pt idx="164">
                  <c:v>133.54181106657484</c:v>
                </c:pt>
                <c:pt idx="165">
                  <c:v>135.10298564726125</c:v>
                </c:pt>
                <c:pt idx="166">
                  <c:v>136.6717805488521</c:v>
                </c:pt>
                <c:pt idx="167">
                  <c:v>138.24816760238656</c:v>
                </c:pt>
                <c:pt idx="168">
                  <c:v>139.83211859456503</c:v>
                </c:pt>
                <c:pt idx="169">
                  <c:v>141.42360526841551</c:v>
                </c:pt>
                <c:pt idx="170">
                  <c:v>143.0225993239595</c:v>
                </c:pt>
                <c:pt idx="171">
                  <c:v>144.62907241887703</c:v>
                </c:pt>
                <c:pt idx="172">
                  <c:v>146.24299616917116</c:v>
                </c:pt>
                <c:pt idx="173">
                  <c:v>147.86434214983169</c:v>
                </c:pt>
                <c:pt idx="174">
                  <c:v>149.49308189549794</c:v>
                </c:pt>
                <c:pt idx="175">
                  <c:v>151.12918690112082</c:v>
                </c:pt>
                <c:pt idx="176">
                  <c:v>152.77262862262401</c:v>
                </c:pt>
                <c:pt idx="177">
                  <c:v>154.42337847756406</c:v>
                </c:pt>
                <c:pt idx="178">
                  <c:v>156.08140784578967</c:v>
                </c:pt>
                <c:pt idx="179">
                  <c:v>157.74668807009985</c:v>
                </c:pt>
                <c:pt idx="180">
                  <c:v>159.41919045690108</c:v>
                </c:pt>
                <c:pt idx="181">
                  <c:v>161.09888627686325</c:v>
                </c:pt>
                <c:pt idx="182">
                  <c:v>162.78574676557466</c:v>
                </c:pt>
                <c:pt idx="183">
                  <c:v>164.47974312419555</c:v>
                </c:pt>
                <c:pt idx="184">
                  <c:v>166.18084652011066</c:v>
                </c:pt>
                <c:pt idx="185">
                  <c:v>167.88902808758033</c:v>
                </c:pt>
                <c:pt idx="186">
                  <c:v>169.60425892839038</c:v>
                </c:pt>
                <c:pt idx="187">
                  <c:v>171.32651011250059</c:v>
                </c:pt>
                <c:pt idx="188">
                  <c:v>173.05575267869182</c:v>
                </c:pt>
                <c:pt idx="189">
                  <c:v>174.79195763521167</c:v>
                </c:pt>
                <c:pt idx="190">
                  <c:v>176.53509596041872</c:v>
                </c:pt>
                <c:pt idx="191">
                  <c:v>178.28513860342514</c:v>
                </c:pt>
                <c:pt idx="192">
                  <c:v>180.04205648473786</c:v>
                </c:pt>
                <c:pt idx="193">
                  <c:v>181.80582049689812</c:v>
                </c:pt>
                <c:pt idx="194">
                  <c:v>183.57640150511941</c:v>
                </c:pt>
                <c:pt idx="195">
                  <c:v>185.35377034792367</c:v>
                </c:pt>
                <c:pt idx="196">
                  <c:v>187.13789783777588</c:v>
                </c:pt>
                <c:pt idx="197">
                  <c:v>188.9287547617169</c:v>
                </c:pt>
                <c:pt idx="198">
                  <c:v>190.72631188199449</c:v>
                </c:pt>
                <c:pt idx="199">
                  <c:v>192.53053993669252</c:v>
                </c:pt>
                <c:pt idx="200">
                  <c:v>194.34140964035842</c:v>
                </c:pt>
                <c:pt idx="201">
                  <c:v>196.15889168462871</c:v>
                </c:pt>
                <c:pt idx="202">
                  <c:v>197.98295673885255</c:v>
                </c:pt>
                <c:pt idx="203">
                  <c:v>199.81357545071344</c:v>
                </c:pt>
                <c:pt idx="204">
                  <c:v>201.65071844684888</c:v>
                </c:pt>
                <c:pt idx="205">
                  <c:v>203.49435633346809</c:v>
                </c:pt>
                <c:pt idx="206">
                  <c:v>205.34445969696756</c:v>
                </c:pt>
                <c:pt idx="207">
                  <c:v>207.20099910454465</c:v>
                </c:pt>
                <c:pt idx="208">
                  <c:v>209.06394510480899</c:v>
                </c:pt>
                <c:pt idx="209">
                  <c:v>210.93326822839182</c:v>
                </c:pt>
                <c:pt idx="210">
                  <c:v>212.80893898855305</c:v>
                </c:pt>
                <c:pt idx="211">
                  <c:v>214.69092788178622</c:v>
                </c:pt>
                <c:pt idx="212">
                  <c:v>216.57920538842117</c:v>
                </c:pt>
                <c:pt idx="213">
                  <c:v>218.47374197322449</c:v>
                </c:pt>
                <c:pt idx="214">
                  <c:v>220.3745080859976</c:v>
                </c:pt>
                <c:pt idx="215">
                  <c:v>222.2814741621726</c:v>
                </c:pt>
                <c:pt idx="216">
                  <c:v>224.19461062340571</c:v>
                </c:pt>
                <c:pt idx="217">
                  <c:v>226.11388787816833</c:v>
                </c:pt>
                <c:pt idx="218">
                  <c:v>228.03927632233572</c:v>
                </c:pt>
                <c:pt idx="219">
                  <c:v>229.97074633977329</c:v>
                </c:pt>
                <c:pt idx="220">
                  <c:v>231.90826830292025</c:v>
                </c:pt>
                <c:pt idx="221">
                  <c:v>233.85181257337101</c:v>
                </c:pt>
                <c:pt idx="222">
                  <c:v>235.80134950245395</c:v>
                </c:pt>
                <c:pt idx="223">
                  <c:v>237.75684943180755</c:v>
                </c:pt>
                <c:pt idx="224">
                  <c:v>239.71828269395419</c:v>
                </c:pt>
                <c:pt idx="225">
                  <c:v>241.68561961287116</c:v>
                </c:pt>
                <c:pt idx="226">
                  <c:v>243.65883050455909</c:v>
                </c:pt>
                <c:pt idx="227">
                  <c:v>245.63788567760784</c:v>
                </c:pt>
                <c:pt idx="228">
                  <c:v>247.62275543375966</c:v>
                </c:pt>
                <c:pt idx="229">
                  <c:v>249.61341006846965</c:v>
                </c:pt>
                <c:pt idx="230">
                  <c:v>251.60981987146346</c:v>
                </c:pt>
                <c:pt idx="231">
                  <c:v>253.61195512729248</c:v>
                </c:pt>
                <c:pt idx="232">
                  <c:v>255.61978611588603</c:v>
                </c:pt>
                <c:pt idx="233">
                  <c:v>257.63328311310084</c:v>
                </c:pt>
                <c:pt idx="234">
                  <c:v>259.65241639126788</c:v>
                </c:pt>
                <c:pt idx="235">
                  <c:v>261.6771562197361</c:v>
                </c:pt>
                <c:pt idx="236">
                  <c:v>263.70747286541371</c:v>
                </c:pt>
                <c:pt idx="237">
                  <c:v>265.7433365933062</c:v>
                </c:pt>
                <c:pt idx="238">
                  <c:v>267.78471766705167</c:v>
                </c:pt>
                <c:pt idx="239">
                  <c:v>269.8315863494534</c:v>
                </c:pt>
                <c:pt idx="240">
                  <c:v>271.88391290300927</c:v>
                </c:pt>
                <c:pt idx="241">
                  <c:v>273.94166759043844</c:v>
                </c:pt>
                <c:pt idx="242">
                  <c:v>276.00482067520483</c:v>
                </c:pt>
                <c:pt idx="243">
                  <c:v>278.07334242203791</c:v>
                </c:pt>
                <c:pt idx="244">
                  <c:v>280.14720309745042</c:v>
                </c:pt>
                <c:pt idx="245">
                  <c:v>282.22637297025284</c:v>
                </c:pt>
                <c:pt idx="246">
                  <c:v>284.3108223120654</c:v>
                </c:pt>
                <c:pt idx="247">
                  <c:v>286.40052139782637</c:v>
                </c:pt>
                <c:pt idx="248">
                  <c:v>288.49544050629777</c:v>
                </c:pt>
                <c:pt idx="249">
                  <c:v>290.59554992056798</c:v>
                </c:pt>
                <c:pt idx="250">
                  <c:v>292.70081992855108</c:v>
                </c:pt>
                <c:pt idx="251">
                  <c:v>294.81121853091122</c:v>
                </c:pt>
                <c:pt idx="252">
                  <c:v>296.92670914982585</c:v>
                </c:pt>
                <c:pt idx="253">
                  <c:v>299.04725292562813</c:v>
                </c:pt>
                <c:pt idx="254">
                  <c:v>301.1728110126997</c:v>
                </c:pt>
                <c:pt idx="255">
                  <c:v>303.30334458014386</c:v>
                </c:pt>
                <c:pt idx="256">
                  <c:v>305.43881481245364</c:v>
                </c:pt>
                <c:pt idx="257">
                  <c:v>307.5791829101745</c:v>
                </c:pt>
                <c:pt idx="258">
                  <c:v>309.72441009056178</c:v>
                </c:pt>
                <c:pt idx="259">
                  <c:v>311.87445758823276</c:v>
                </c:pt>
                <c:pt idx="260">
                  <c:v>314.02928665581362</c:v>
                </c:pt>
                <c:pt idx="261">
                  <c:v>316.1888585645807</c:v>
                </c:pt>
                <c:pt idx="262">
                  <c:v>318.35313460509673</c:v>
                </c:pt>
                <c:pt idx="263">
                  <c:v>320.52207608784158</c:v>
                </c:pt>
                <c:pt idx="264">
                  <c:v>322.69564434383773</c:v>
                </c:pt>
                <c:pt idx="265">
                  <c:v>324.87380072527014</c:v>
                </c:pt>
                <c:pt idx="266">
                  <c:v>327.05650660610087</c:v>
                </c:pt>
                <c:pt idx="267">
                  <c:v>329.24372338267841</c:v>
                </c:pt>
                <c:pt idx="268">
                  <c:v>331.43541247434138</c:v>
                </c:pt>
                <c:pt idx="269">
                  <c:v>333.63153532401702</c:v>
                </c:pt>
                <c:pt idx="270">
                  <c:v>335.83205339881414</c:v>
                </c:pt>
                <c:pt idx="271">
                  <c:v>338.03692819061052</c:v>
                </c:pt>
                <c:pt idx="272">
                  <c:v>340.24612121663523</c:v>
                </c:pt>
                <c:pt idx="273">
                  <c:v>342.45959402004507</c:v>
                </c:pt>
                <c:pt idx="274">
                  <c:v>344.67730817049608</c:v>
                </c:pt>
                <c:pt idx="275">
                  <c:v>346.89922526470895</c:v>
                </c:pt>
                <c:pt idx="276">
                  <c:v>349.12530692702967</c:v>
                </c:pt>
                <c:pt idx="277">
                  <c:v>351.35551480998419</c:v>
                </c:pt>
                <c:pt idx="278">
                  <c:v>353.58981059482784</c:v>
                </c:pt>
                <c:pt idx="279">
                  <c:v>355.82815599208931</c:v>
                </c:pt>
                <c:pt idx="280">
                  <c:v>358.0705127421092</c:v>
                </c:pt>
                <c:pt idx="281">
                  <c:v>360.31684261557291</c:v>
                </c:pt>
                <c:pt idx="282">
                  <c:v>362.56710741403822</c:v>
                </c:pt>
                <c:pt idx="283">
                  <c:v>364.82126897045742</c:v>
                </c:pt>
                <c:pt idx="284">
                  <c:v>367.07928914969403</c:v>
                </c:pt>
                <c:pt idx="285">
                  <c:v>369.34112984903385</c:v>
                </c:pt>
                <c:pt idx="286">
                  <c:v>371.60675299869064</c:v>
                </c:pt>
                <c:pt idx="287">
                  <c:v>373.8761205623066</c:v>
                </c:pt>
                <c:pt idx="288">
                  <c:v>376.14919453744699</c:v>
                </c:pt>
                <c:pt idx="289">
                  <c:v>378.42593695608957</c:v>
                </c:pt>
                <c:pt idx="290">
                  <c:v>380.70630988510851</c:v>
                </c:pt>
                <c:pt idx="291">
                  <c:v>382.99027542675299</c:v>
                </c:pt>
                <c:pt idx="292">
                  <c:v>385.27779571912009</c:v>
                </c:pt>
                <c:pt idx="293">
                  <c:v>387.56883293662253</c:v>
                </c:pt>
                <c:pt idx="294">
                  <c:v>389.8633492904508</c:v>
                </c:pt>
                <c:pt idx="295">
                  <c:v>392.16130702903013</c:v>
                </c:pt>
                <c:pt idx="296">
                  <c:v>394.46266843847172</c:v>
                </c:pt>
                <c:pt idx="297">
                  <c:v>396.76739584301885</c:v>
                </c:pt>
                <c:pt idx="298">
                  <c:v>399.07542636391133</c:v>
                </c:pt>
                <c:pt idx="299">
                  <c:v>401.3866467005185</c:v>
                </c:pt>
                <c:pt idx="300">
                  <c:v>403.70091843431464</c:v>
                </c:pt>
                <c:pt idx="301">
                  <c:v>406.01810331214421</c:v>
                </c:pt>
                <c:pt idx="302">
                  <c:v>408.33806324974847</c:v>
                </c:pt>
                <c:pt idx="303">
                  <c:v>410.6606603352285</c:v>
                </c:pt>
                <c:pt idx="304">
                  <c:v>412.98575683244439</c:v>
                </c:pt>
                <c:pt idx="305">
                  <c:v>415.31321518435101</c:v>
                </c:pt>
                <c:pt idx="306">
                  <c:v>417.6428980162699</c:v>
                </c:pt>
                <c:pt idx="307">
                  <c:v>419.97466813909784</c:v>
                </c:pt>
                <c:pt idx="308">
                  <c:v>422.3083885524523</c:v>
                </c:pt>
                <c:pt idx="309">
                  <c:v>424.64392244775337</c:v>
                </c:pt>
                <c:pt idx="310">
                  <c:v>426.98113321124271</c:v>
                </c:pt>
                <c:pt idx="311">
                  <c:v>429.31988442693984</c:v>
                </c:pt>
                <c:pt idx="312">
                  <c:v>431.66003987953536</c:v>
                </c:pt>
                <c:pt idx="313">
                  <c:v>434.00146355722188</c:v>
                </c:pt>
                <c:pt idx="314">
                  <c:v>436.34401965446256</c:v>
                </c:pt>
                <c:pt idx="315">
                  <c:v>438.68757257469724</c:v>
                </c:pt>
                <c:pt idx="316">
                  <c:v>441.03198693298702</c:v>
                </c:pt>
                <c:pt idx="317">
                  <c:v>443.37712755859684</c:v>
                </c:pt>
                <c:pt idx="318">
                  <c:v>445.72285949751665</c:v>
                </c:pt>
                <c:pt idx="319">
                  <c:v>448.06904801492141</c:v>
                </c:pt>
                <c:pt idx="320">
                  <c:v>450.41555859756994</c:v>
                </c:pt>
                <c:pt idx="321">
                  <c:v>452.7622670037851</c:v>
                </c:pt>
                <c:pt idx="322">
                  <c:v>455.10906929779424</c:v>
                </c:pt>
                <c:pt idx="323">
                  <c:v>457.45587176938403</c:v>
                </c:pt>
                <c:pt idx="324">
                  <c:v>459.80258086848056</c:v>
                </c:pt>
                <c:pt idx="325">
                  <c:v>462.14910320607339</c:v>
                </c:pt>
                <c:pt idx="326">
                  <c:v>464.49534555511127</c:v>
                </c:pt>
                <c:pt idx="327">
                  <c:v>466.84121485136887</c:v>
                </c:pt>
                <c:pt idx="328">
                  <c:v>469.18661819428553</c:v>
                </c:pt>
                <c:pt idx="329">
                  <c:v>471.53146284777546</c:v>
                </c:pt>
                <c:pt idx="330">
                  <c:v>473.87565624100995</c:v>
                </c:pt>
                <c:pt idx="331">
                  <c:v>476.21910596917178</c:v>
                </c:pt>
                <c:pt idx="332">
                  <c:v>478.56171979418207</c:v>
                </c:pt>
                <c:pt idx="333">
                  <c:v>480.90340564539929</c:v>
                </c:pt>
                <c:pt idx="334">
                  <c:v>483.24407162029132</c:v>
                </c:pt>
                <c:pt idx="335">
                  <c:v>485.58362598508029</c:v>
                </c:pt>
                <c:pt idx="336">
                  <c:v>487.92197717536033</c:v>
                </c:pt>
                <c:pt idx="337">
                  <c:v>490.25903379668893</c:v>
                </c:pt>
                <c:pt idx="338">
                  <c:v>492.59470462515151</c:v>
                </c:pt>
                <c:pt idx="339">
                  <c:v>494.92889860789978</c:v>
                </c:pt>
                <c:pt idx="340">
                  <c:v>497.26152486366402</c:v>
                </c:pt>
                <c:pt idx="341">
                  <c:v>499.59249268323924</c:v>
                </c:pt>
                <c:pt idx="342">
                  <c:v>501.92171152994592</c:v>
                </c:pt>
                <c:pt idx="343">
                  <c:v>504.24909104006497</c:v>
                </c:pt>
                <c:pt idx="344">
                  <c:v>506.57454102324749</c:v>
                </c:pt>
                <c:pt idx="345">
                  <c:v>508.89797146289942</c:v>
                </c:pt>
                <c:pt idx="346">
                  <c:v>511.21929251654126</c:v>
                </c:pt>
                <c:pt idx="347">
                  <c:v>513.53841451614312</c:v>
                </c:pt>
                <c:pt idx="348">
                  <c:v>515.85524905241698</c:v>
                </c:pt>
                <c:pt idx="349">
                  <c:v>518.1697100568997</c:v>
                </c:pt>
                <c:pt idx="350">
                  <c:v>520.4817127137527</c:v>
                </c:pt>
                <c:pt idx="351">
                  <c:v>522.79117237369076</c:v>
                </c:pt>
                <c:pt idx="352">
                  <c:v>525.09800455413438</c:v>
                </c:pt>
                <c:pt idx="353">
                  <c:v>527.40212493934087</c:v>
                </c:pt>
                <c:pt idx="354">
                  <c:v>529.7034493805146</c:v>
                </c:pt>
                <c:pt idx="355">
                  <c:v>532.00189389589696</c:v>
                </c:pt>
                <c:pt idx="356">
                  <c:v>534.29737467083555</c:v>
                </c:pt>
                <c:pt idx="357">
                  <c:v>536.58980805783335</c:v>
                </c:pt>
                <c:pt idx="358">
                  <c:v>538.87911057657732</c:v>
                </c:pt>
                <c:pt idx="359">
                  <c:v>541.16519891394796</c:v>
                </c:pt>
                <c:pt idx="360">
                  <c:v>543.44801246697205</c:v>
                </c:pt>
                <c:pt idx="361">
                  <c:v>545.72753583676149</c:v>
                </c:pt>
                <c:pt idx="362">
                  <c:v>548.00377618798007</c:v>
                </c:pt>
                <c:pt idx="363">
                  <c:v>550.27674065739689</c:v>
                </c:pt>
                <c:pt idx="364">
                  <c:v>552.5464363540309</c:v>
                </c:pt>
                <c:pt idx="365">
                  <c:v>554.81287035929472</c:v>
                </c:pt>
                <c:pt idx="366">
                  <c:v>557.07604972713705</c:v>
                </c:pt>
                <c:pt idx="367">
                  <c:v>559.33598148418446</c:v>
                </c:pt>
                <c:pt idx="368">
                  <c:v>561.59267262988249</c:v>
                </c:pt>
                <c:pt idx="369">
                  <c:v>563.84613013663511</c:v>
                </c:pt>
                <c:pt idx="370">
                  <c:v>566.09636094994414</c:v>
                </c:pt>
                <c:pt idx="371">
                  <c:v>568.34337198854701</c:v>
                </c:pt>
                <c:pt idx="372">
                  <c:v>570.58717014455419</c:v>
                </c:pt>
                <c:pt idx="373">
                  <c:v>572.82776228358534</c:v>
                </c:pt>
                <c:pt idx="374">
                  <c:v>575.06515524490487</c:v>
                </c:pt>
                <c:pt idx="375">
                  <c:v>577.29935584155646</c:v>
                </c:pt>
                <c:pt idx="376">
                  <c:v>579.53037086049665</c:v>
                </c:pt>
                <c:pt idx="377">
                  <c:v>581.75820706272771</c:v>
                </c:pt>
                <c:pt idx="378">
                  <c:v>583.98287118342989</c:v>
                </c:pt>
                <c:pt idx="379">
                  <c:v>586.20436993209216</c:v>
                </c:pt>
                <c:pt idx="380">
                  <c:v>588.42270999264269</c:v>
                </c:pt>
                <c:pt idx="381">
                  <c:v>590.63789802357837</c:v>
                </c:pt>
                <c:pt idx="382">
                  <c:v>592.84994065809326</c:v>
                </c:pt>
                <c:pt idx="383">
                  <c:v>595.0588445042066</c:v>
                </c:pt>
                <c:pt idx="384">
                  <c:v>597.26461614488971</c:v>
                </c:pt>
                <c:pt idx="385">
                  <c:v>599.46726213819215</c:v>
                </c:pt>
                <c:pt idx="386">
                  <c:v>601.66678901736714</c:v>
                </c:pt>
                <c:pt idx="387">
                  <c:v>603.86320329099613</c:v>
                </c:pt>
                <c:pt idx="388">
                  <c:v>606.05651144311264</c:v>
                </c:pt>
                <c:pt idx="389">
                  <c:v>608.24671993332538</c:v>
                </c:pt>
                <c:pt idx="390">
                  <c:v>610.43383519694021</c:v>
                </c:pt>
                <c:pt idx="391">
                  <c:v>612.6178636450818</c:v>
                </c:pt>
                <c:pt idx="392">
                  <c:v>614.79881166481437</c:v>
                </c:pt>
                <c:pt idx="393">
                  <c:v>616.97668561926162</c:v>
                </c:pt>
                <c:pt idx="394">
                  <c:v>619.15149184772565</c:v>
                </c:pt>
                <c:pt idx="395">
                  <c:v>621.32323666580578</c:v>
                </c:pt>
                <c:pt idx="396">
                  <c:v>623.49192636551595</c:v>
                </c:pt>
                <c:pt idx="397">
                  <c:v>625.65756721540185</c:v>
                </c:pt>
                <c:pt idx="398">
                  <c:v>627.82016546065722</c:v>
                </c:pt>
                <c:pt idx="399">
                  <c:v>629.9797273232391</c:v>
                </c:pt>
                <c:pt idx="400">
                  <c:v>632.13625900198269</c:v>
                </c:pt>
                <c:pt idx="401">
                  <c:v>653.53539404675041</c:v>
                </c:pt>
                <c:pt idx="402">
                  <c:v>674.63548225065961</c:v>
                </c:pt>
                <c:pt idx="403">
                  <c:v>695.4425041369102</c:v>
                </c:pt>
                <c:pt idx="404">
                  <c:v>715.96222361986725</c:v>
                </c:pt>
                <c:pt idx="405">
                  <c:v>736.20019831701836</c:v>
                </c:pt>
                <c:pt idx="406">
                  <c:v>756.16178924676285</c:v>
                </c:pt>
                <c:pt idx="407">
                  <c:v>775.85216995563576</c:v>
                </c:pt>
                <c:pt idx="408">
                  <c:v>795.27633511498607</c:v>
                </c:pt>
                <c:pt idx="409">
                  <c:v>814.43910862387588</c:v>
                </c:pt>
                <c:pt idx="410">
                  <c:v>833.3451512520146</c:v>
                </c:pt>
                <c:pt idx="411">
                  <c:v>851.99896785385999</c:v>
                </c:pt>
                <c:pt idx="412">
                  <c:v>870.40491418257523</c:v>
                </c:pt>
                <c:pt idx="413">
                  <c:v>888.56720333030694</c:v>
                </c:pt>
                <c:pt idx="414">
                  <c:v>906.48991181921906</c:v>
                </c:pt>
                <c:pt idx="415">
                  <c:v>924.17698536586602</c:v>
                </c:pt>
                <c:pt idx="416">
                  <c:v>941.63224433979383</c:v>
                </c:pt>
                <c:pt idx="417">
                  <c:v>958.85938893571051</c:v>
                </c:pt>
                <c:pt idx="418">
                  <c:v>975.86200407714568</c:v>
                </c:pt>
                <c:pt idx="419">
                  <c:v>992.64356406822026</c:v>
                </c:pt>
                <c:pt idx="420">
                  <c:v>1009.2074370089531</c:v>
                </c:pt>
                <c:pt idx="421">
                  <c:v>1025.556888988435</c:v>
                </c:pt>
                <c:pt idx="422">
                  <c:v>1041.6950880691913</c:v>
                </c:pt>
                <c:pt idx="423">
                  <c:v>1057.6251080751292</c:v>
                </c:pt>
                <c:pt idx="424">
                  <c:v>1073.3499321946092</c:v>
                </c:pt>
                <c:pt idx="425">
                  <c:v>1088.8724564093955</c:v>
                </c:pt>
                <c:pt idx="426">
                  <c:v>1104.1954927595093</c:v>
                </c:pt>
                <c:pt idx="427">
                  <c:v>1119.3217724533451</c:v>
                </c:pt>
                <c:pt idx="428">
                  <c:v>1134.2539488317827</c:v>
                </c:pt>
                <c:pt idx="429">
                  <c:v>1148.9946001944597</c:v>
                </c:pt>
                <c:pt idx="430">
                  <c:v>1163.5462324958387</c:v>
                </c:pt>
                <c:pt idx="431">
                  <c:v>1177.9112819182071</c:v>
                </c:pt>
                <c:pt idx="432">
                  <c:v>1192.0921173282998</c:v>
                </c:pt>
                <c:pt idx="433">
                  <c:v>1206.0910426238049</c:v>
                </c:pt>
                <c:pt idx="434">
                  <c:v>1219.9102989756268</c:v>
                </c:pt>
                <c:pt idx="435">
                  <c:v>1233.5520669714122</c:v>
                </c:pt>
                <c:pt idx="436">
                  <c:v>1247.0184686655082</c:v>
                </c:pt>
                <c:pt idx="437">
                  <c:v>1260.311569540208</c:v>
                </c:pt>
                <c:pt idx="438">
                  <c:v>1273.4333803828417</c:v>
                </c:pt>
                <c:pt idx="439">
                  <c:v>1286.3858590830041</c:v>
                </c:pt>
                <c:pt idx="440">
                  <c:v>1299.1709123539486</c:v>
                </c:pt>
                <c:pt idx="441">
                  <c:v>1311.7903973819464</c:v>
                </c:pt>
                <c:pt idx="442">
                  <c:v>1324.2461234071841</c:v>
                </c:pt>
                <c:pt idx="443">
                  <c:v>1336.5398532395679</c:v>
                </c:pt>
                <c:pt idx="444">
                  <c:v>1348.6733047126083</c:v>
                </c:pt>
                <c:pt idx="445">
                  <c:v>1360.64815207838</c:v>
                </c:pt>
                <c:pt idx="446">
                  <c:v>1372.4660273463821</c:v>
                </c:pt>
                <c:pt idx="447">
                  <c:v>1384.1285215689654</c:v>
                </c:pt>
                <c:pt idx="448">
                  <c:v>1395.6371860758452</c:v>
                </c:pt>
                <c:pt idx="449">
                  <c:v>1406.9935336600806</c:v>
                </c:pt>
                <c:pt idx="450">
                  <c:v>1418.1990397177699</c:v>
                </c:pt>
                <c:pt idx="451">
                  <c:v>1429.2551433435904</c:v>
                </c:pt>
                <c:pt idx="452">
                  <c:v>1440.1632483841963</c:v>
                </c:pt>
                <c:pt idx="453">
                  <c:v>1450.9247244513811</c:v>
                </c:pt>
                <c:pt idx="454">
                  <c:v>1461.5409078968084</c:v>
                </c:pt>
                <c:pt idx="455">
                  <c:v>1472.0131027500249</c:v>
                </c:pt>
                <c:pt idx="456">
                  <c:v>1482.3425816213714</c:v>
                </c:pt>
                <c:pt idx="457">
                  <c:v>1492.5305865713342</c:v>
                </c:pt>
                <c:pt idx="458">
                  <c:v>1502.5783299477914</c:v>
                </c:pt>
                <c:pt idx="459">
                  <c:v>1512.4869951925396</c:v>
                </c:pt>
                <c:pt idx="460">
                  <c:v>1522.257737618414</c:v>
                </c:pt>
                <c:pt idx="461">
                  <c:v>1531.8916851582489</c:v>
                </c:pt>
                <c:pt idx="462">
                  <c:v>1541.3899390868651</c:v>
                </c:pt>
                <c:pt idx="463">
                  <c:v>1550.7535747172094</c:v>
                </c:pt>
                <c:pt idx="464">
                  <c:v>1559.9836420717181</c:v>
                </c:pt>
                <c:pt idx="465">
                  <c:v>1569.0811665299216</c:v>
                </c:pt>
                <c:pt idx="466">
                  <c:v>1578.047149453261</c:v>
                </c:pt>
                <c:pt idx="467">
                  <c:v>1586.8825687880378</c:v>
                </c:pt>
                <c:pt idx="468">
                  <c:v>1595.5883796473747</c:v>
                </c:pt>
                <c:pt idx="469">
                  <c:v>1604.1655148730251</c:v>
                </c:pt>
                <c:pt idx="470">
                  <c:v>1612.6148855778265</c:v>
                </c:pt>
                <c:pt idx="471">
                  <c:v>1620.9373816695575</c:v>
                </c:pt>
                <c:pt idx="472">
                  <c:v>1629.1338723569229</c:v>
                </c:pt>
                <c:pt idx="473">
                  <c:v>1637.2052066383576</c:v>
                </c:pt>
                <c:pt idx="474">
                  <c:v>1645.1522137743054</c:v>
                </c:pt>
                <c:pt idx="475">
                  <c:v>1652.9757037436036</c:v>
                </c:pt>
                <c:pt idx="476">
                  <c:v>1660.6764676845719</c:v>
                </c:pt>
                <c:pt idx="477">
                  <c:v>1668.2552783213789</c:v>
                </c:pt>
                <c:pt idx="478">
                  <c:v>1675.7128903762325</c:v>
                </c:pt>
                <c:pt idx="479">
                  <c:v>1683.0500409679162</c:v>
                </c:pt>
                <c:pt idx="480">
                  <c:v>1690.2674499971729</c:v>
                </c:pt>
                <c:pt idx="481">
                  <c:v>1697.3658205194104</c:v>
                </c:pt>
                <c:pt idx="482">
                  <c:v>1704.3458391051872</c:v>
                </c:pt>
                <c:pt idx="483">
                  <c:v>1711.2081761889158</c:v>
                </c:pt>
                <c:pt idx="484">
                  <c:v>1717.9534864061973</c:v>
                </c:pt>
                <c:pt idx="485">
                  <c:v>1724.5824089201926</c:v>
                </c:pt>
                <c:pt idx="486">
                  <c:v>1731.0955677374084</c:v>
                </c:pt>
                <c:pt idx="487">
                  <c:v>1737.4935720132667</c:v>
                </c:pt>
                <c:pt idx="488">
                  <c:v>1743.7770163478096</c:v>
                </c:pt>
                <c:pt idx="489">
                  <c:v>1749.9464810718737</c:v>
                </c:pt>
                <c:pt idx="490">
                  <c:v>1756.0025325240588</c:v>
                </c:pt>
                <c:pt idx="491">
                  <c:v>1761.9457233188</c:v>
                </c:pt>
                <c:pt idx="492">
                  <c:v>1767.7765926058394</c:v>
                </c:pt>
                <c:pt idx="493">
                  <c:v>1773.4956663213836</c:v>
                </c:pt>
                <c:pt idx="494">
                  <c:v>1779.1034574312209</c:v>
                </c:pt>
                <c:pt idx="495">
                  <c:v>1784.6004661660593</c:v>
                </c:pt>
                <c:pt idx="496">
                  <c:v>1789.9871802493417</c:v>
                </c:pt>
                <c:pt idx="497">
                  <c:v>1795.2640751177805</c:v>
                </c:pt>
                <c:pt idx="498">
                  <c:v>1800.4316141348445</c:v>
                </c:pt>
                <c:pt idx="499">
                  <c:v>1805.4902487974282</c:v>
                </c:pt>
                <c:pt idx="500">
                  <c:v>1810.4404189359184</c:v>
                </c:pt>
                <c:pt idx="501">
                  <c:v>1815.2825529078721</c:v>
                </c:pt>
                <c:pt idx="502">
                  <c:v>1820.0170677855076</c:v>
                </c:pt>
                <c:pt idx="503">
                  <c:v>1824.6443695372097</c:v>
                </c:pt>
                <c:pt idx="504">
                  <c:v>1829.1648532032395</c:v>
                </c:pt>
                <c:pt idx="505">
                  <c:v>1833.5789030658382</c:v>
                </c:pt>
                <c:pt idx="506">
                  <c:v>1837.8868928139068</c:v>
                </c:pt>
                <c:pt idx="507">
                  <c:v>1842.0891857024446</c:v>
                </c:pt>
                <c:pt idx="508">
                  <c:v>1846.1861347069193</c:v>
                </c:pt>
                <c:pt idx="509">
                  <c:v>1850.1780826727481</c:v>
                </c:pt>
                <c:pt idx="510">
                  <c:v>1854.0653624600616</c:v>
                </c:pt>
                <c:pt idx="511">
                  <c:v>1857.8482970839252</c:v>
                </c:pt>
                <c:pt idx="512">
                  <c:v>1861.5271998501953</c:v>
                </c:pt>
                <c:pt idx="513">
                  <c:v>1865.1023744871854</c:v>
                </c:pt>
                <c:pt idx="514">
                  <c:v>1868.5741152733283</c:v>
                </c:pt>
                <c:pt idx="515">
                  <c:v>1871.942707161021</c:v>
                </c:pt>
                <c:pt idx="516">
                  <c:v>1875.2084258968514</c:v>
                </c:pt>
                <c:pt idx="517">
                  <c:v>1878.3715381384143</c:v>
                </c:pt>
                <c:pt idx="518">
                  <c:v>1881.4323015679408</c:v>
                </c:pt>
                <c:pt idx="519">
                  <c:v>1884.3909650029818</c:v>
                </c:pt>
                <c:pt idx="520">
                  <c:v>1887.2477685044103</c:v>
                </c:pt>
                <c:pt idx="521">
                  <c:v>1890.0029434820349</c:v>
                </c:pt>
                <c:pt idx="522">
                  <c:v>1892.6567127981516</c:v>
                </c:pt>
                <c:pt idx="523">
                  <c:v>1895.2092908694053</c:v>
                </c:pt>
                <c:pt idx="524">
                  <c:v>1897.6608837673834</c:v>
                </c:pt>
                <c:pt idx="525">
                  <c:v>1900.011689318432</c:v>
                </c:pt>
                <c:pt idx="526">
                  <c:v>1902.2618972032606</c:v>
                </c:pt>
                <c:pt idx="527">
                  <c:v>1904.4116890570019</c:v>
                </c:pt>
                <c:pt idx="528">
                  <c:v>1906.4612385705093</c:v>
                </c:pt>
                <c:pt idx="529">
                  <c:v>1908.4107115938189</c:v>
                </c:pt>
                <c:pt idx="530">
                  <c:v>1910.260266242879</c:v>
                </c:pt>
                <c:pt idx="531">
                  <c:v>1912.0100530108571</c:v>
                </c:pt>
                <c:pt idx="532">
                  <c:v>1913.6602148855902</c:v>
                </c:pt>
                <c:pt idx="533">
                  <c:v>1915.2108874750452</c:v>
                </c:pt>
                <c:pt idx="534">
                  <c:v>1916.6621991430081</c:v>
                </c:pt>
                <c:pt idx="535">
                  <c:v>1918.0142711576364</c:v>
                </c:pt>
                <c:pt idx="536">
                  <c:v>1919.2672178559733</c:v>
                </c:pt>
                <c:pt idx="537">
                  <c:v>1920.421146828048</c:v>
                </c:pt>
                <c:pt idx="538">
                  <c:v>1921.47615912473</c:v>
                </c:pt>
                <c:pt idx="539">
                  <c:v>1922.4323494940593</c:v>
                </c:pt>
                <c:pt idx="540">
                  <c:v>1923.2898066512682</c:v>
                </c:pt>
                <c:pt idx="541">
                  <c:v>1924.0486135880608</c:v>
                </c:pt>
                <c:pt idx="542">
                  <c:v>1924.7088479268193</c:v>
                </c:pt>
                <c:pt idx="543">
                  <c:v>1925.2705823251067</c:v>
                </c:pt>
                <c:pt idx="544">
                  <c:v>1925.7338849349876</c:v>
                </c:pt>
                <c:pt idx="545">
                  <c:v>1926.098819920139</c:v>
                </c:pt>
                <c:pt idx="546">
                  <c:v>1926.3654480313908</c:v>
                </c:pt>
                <c:pt idx="547">
                  <c:v>1926.5338272382439</c:v>
                </c:pt>
                <c:pt idx="548">
                  <c:v>1926.6040134102664</c:v>
                </c:pt>
                <c:pt idx="549">
                  <c:v>1926.5760610384211</c:v>
                </c:pt>
                <c:pt idx="550">
                  <c:v>1926.4500239828867</c:v>
                </c:pt>
                <c:pt idx="551">
                  <c:v>1926.2259562313372</c:v>
                </c:pt>
                <c:pt idx="552">
                  <c:v>1925.9039126504497</c:v>
                </c:pt>
                <c:pt idx="553">
                  <c:v>1925.4839497138166</c:v>
                </c:pt>
                <c:pt idx="554">
                  <c:v>1924.9661261913986</c:v>
                </c:pt>
                <c:pt idx="555">
                  <c:v>1924.3505037887717</c:v>
                </c:pt>
                <c:pt idx="556">
                  <c:v>1923.6371477281789</c:v>
                </c:pt>
                <c:pt idx="557">
                  <c:v>1922.8261272672082</c:v>
                </c:pt>
                <c:pt idx="558">
                  <c:v>1921.9175161543301</c:v>
                </c:pt>
                <c:pt idx="559">
                  <c:v>1920.9113930232534</c:v>
                </c:pt>
                <c:pt idx="560">
                  <c:v>1919.8078417299937</c:v>
                </c:pt>
                <c:pt idx="561">
                  <c:v>1918.6069516377181</c:v>
                </c:pt>
                <c:pt idx="562">
                  <c:v>1917.308817854982</c:v>
                </c:pt>
                <c:pt idx="563">
                  <c:v>1915.913541433034</c:v>
                </c:pt>
                <c:pt idx="564">
                  <c:v>1914.4212295276163</c:v>
                </c:pt>
                <c:pt idx="565">
                  <c:v>1912.8319955302391</c:v>
                </c:pt>
                <c:pt idx="566">
                  <c:v>1911.1459591733683</c:v>
                </c:pt>
                <c:pt idx="567">
                  <c:v>1909.3632466134022</c:v>
                </c:pt>
                <c:pt idx="568">
                  <c:v>1907.4839904947689</c:v>
                </c:pt>
                <c:pt idx="569">
                  <c:v>1905.508329997974</c:v>
                </c:pt>
                <c:pt idx="570">
                  <c:v>1903.4364108739844</c:v>
                </c:pt>
                <c:pt idx="571">
                  <c:v>1901.2683854669472</c:v>
                </c:pt>
                <c:pt idx="572">
                  <c:v>1899.0044127269102</c:v>
                </c:pt>
                <c:pt idx="573">
                  <c:v>1896.6446582139386</c:v>
                </c:pt>
                <c:pt idx="574">
                  <c:v>1894.1892940947776</c:v>
                </c:pt>
                <c:pt idx="575">
                  <c:v>1891.6384991330322</c:v>
                </c:pt>
                <c:pt idx="576">
                  <c:v>1888.9924586736595</c:v>
                </c:pt>
                <c:pt idx="577">
                  <c:v>1886.2513646224493</c:v>
                </c:pt>
                <c:pt idx="578">
                  <c:v>1883.4154154210496</c:v>
                </c:pt>
                <c:pt idx="579">
                  <c:v>1880.4848160180125</c:v>
                </c:pt>
                <c:pt idx="580">
                  <c:v>1877.459777836254</c:v>
                </c:pt>
                <c:pt idx="581">
                  <c:v>1874.3405187372655</c:v>
                </c:pt>
                <c:pt idx="582">
                  <c:v>1871.127262982362</c:v>
                </c:pt>
                <c:pt idx="583">
                  <c:v>1867.8202411912127</c:v>
                </c:pt>
                <c:pt idx="584">
                  <c:v>1864.4196902978604</c:v>
                </c:pt>
                <c:pt idx="585">
                  <c:v>1860.9258535044144</c:v>
                </c:pt>
                <c:pt idx="586">
                  <c:v>1857.3389802325721</c:v>
                </c:pt>
                <c:pt idx="587">
                  <c:v>1853.6593260731083</c:v>
                </c:pt>
                <c:pt idx="588">
                  <c:v>1849.8871527334529</c:v>
                </c:pt>
                <c:pt idx="589">
                  <c:v>1846.0227279834653</c:v>
                </c:pt>
                <c:pt idx="590">
                  <c:v>1842.0663255995005</c:v>
                </c:pt>
                <c:pt idx="591">
                  <c:v>1838.018225306856</c:v>
                </c:pt>
                <c:pt idx="592">
                  <c:v>1833.8787127206756</c:v>
                </c:pt>
                <c:pt idx="593">
                  <c:v>1829.6480792853833</c:v>
                </c:pt>
                <c:pt idx="594">
                  <c:v>1825.3266222127129</c:v>
                </c:pt>
                <c:pt idx="595">
                  <c:v>1820.9146444183946</c:v>
                </c:pt>
                <c:pt idx="596">
                  <c:v>1816.4124544575561</c:v>
                </c:pt>
                <c:pt idx="597">
                  <c:v>1811.8203664588918</c:v>
                </c:pt>
                <c:pt idx="598">
                  <c:v>1807.1387000576501</c:v>
                </c:pt>
                <c:pt idx="599">
                  <c:v>1802.3677803274886</c:v>
                </c:pt>
                <c:pt idx="600">
                  <c:v>1797.5079377112415</c:v>
                </c:pt>
                <c:pt idx="601">
                  <c:v>1792.5595079506459</c:v>
                </c:pt>
                <c:pt idx="602">
                  <c:v>1787.5228320150661</c:v>
                </c:pt>
                <c:pt idx="603">
                  <c:v>1782.3982560292618</c:v>
                </c:pt>
                <c:pt idx="604">
                  <c:v>1777.1861312002361</c:v>
                </c:pt>
                <c:pt idx="605">
                  <c:v>1771.8868137432066</c:v>
                </c:pt>
                <c:pt idx="606">
                  <c:v>1766.5006648067342</c:v>
                </c:pt>
                <c:pt idx="607">
                  <c:v>1761.0280503970494</c:v>
                </c:pt>
                <c:pt idx="608">
                  <c:v>1755.4693413016128</c:v>
                </c:pt>
                <c:pt idx="609">
                  <c:v>1749.8249130119464</c:v>
                </c:pt>
                <c:pt idx="610">
                  <c:v>1744.0951456457697</c:v>
                </c:pt>
                <c:pt idx="611">
                  <c:v>1738.2804238684782</c:v>
                </c:pt>
                <c:pt idx="612">
                  <c:v>1732.3811368139982</c:v>
                </c:pt>
                <c:pt idx="613">
                  <c:v>1726.3976780050521</c:v>
                </c:pt>
                <c:pt idx="614">
                  <c:v>1720.3304452728692</c:v>
                </c:pt>
                <c:pt idx="615">
                  <c:v>1714.1798406763753</c:v>
                </c:pt>
                <c:pt idx="616">
                  <c:v>1707.9462704208943</c:v>
                </c:pt>
                <c:pt idx="617">
                  <c:v>1701.6301447763958</c:v>
                </c:pt>
                <c:pt idx="618">
                  <c:v>1695.2318779953216</c:v>
                </c:pt>
                <c:pt idx="619">
                  <c:v>1688.7518882300226</c:v>
                </c:pt>
                <c:pt idx="620">
                  <c:v>1682.1905974498395</c:v>
                </c:pt>
                <c:pt idx="621">
                  <c:v>1675.5484313578595</c:v>
                </c:pt>
                <c:pt idx="622">
                  <c:v>1668.8258193073791</c:v>
                </c:pt>
                <c:pt idx="623">
                  <c:v>1662.0231942181076</c:v>
                </c:pt>
                <c:pt idx="624">
                  <c:v>1655.1409924921395</c:v>
                </c:pt>
                <c:pt idx="625">
                  <c:v>1648.1796539297277</c:v>
                </c:pt>
                <c:pt idx="626">
                  <c:v>1641.1396216448893</c:v>
                </c:pt>
                <c:pt idx="627">
                  <c:v>1634.0213419808729</c:v>
                </c:pt>
                <c:pt idx="628">
                  <c:v>1626.8252644255183</c:v>
                </c:pt>
                <c:pt idx="629">
                  <c:v>1619.5518415265374</c:v>
                </c:pt>
                <c:pt idx="630">
                  <c:v>1612.2015288067471</c:v>
                </c:pt>
                <c:pt idx="631">
                  <c:v>1604.7747846792822</c:v>
                </c:pt>
                <c:pt idx="632">
                  <c:v>1597.2720703628174</c:v>
                </c:pt>
                <c:pt idx="633">
                  <c:v>1589.693849796827</c:v>
                </c:pt>
                <c:pt idx="634">
                  <c:v>1582.0405895569095</c:v>
                </c:pt>
                <c:pt idx="635">
                  <c:v>1574.3127587702068</c:v>
                </c:pt>
                <c:pt idx="636">
                  <c:v>1566.5108290309433</c:v>
                </c:pt>
                <c:pt idx="637">
                  <c:v>1558.6352743161124</c:v>
                </c:pt>
                <c:pt idx="638">
                  <c:v>1550.6865709013373</c:v>
                </c:pt>
                <c:pt idx="639">
                  <c:v>1542.665197276933</c:v>
                </c:pt>
                <c:pt idx="640">
                  <c:v>1534.5716340641932</c:v>
                </c:pt>
                <c:pt idx="641">
                  <c:v>1526.4063639319299</c:v>
                </c:pt>
                <c:pt idx="642">
                  <c:v>1518.1698715132891</c:v>
                </c:pt>
                <c:pt idx="643">
                  <c:v>1509.8626433228674</c:v>
                </c:pt>
                <c:pt idx="644">
                  <c:v>1501.4851676741537</c:v>
                </c:pt>
                <c:pt idx="645">
                  <c:v>1493.0379345973206</c:v>
                </c:pt>
                <c:pt idx="646">
                  <c:v>1484.5214357573868</c:v>
                </c:pt>
                <c:pt idx="647">
                  <c:v>1475.9361643727755</c:v>
                </c:pt>
                <c:pt idx="648">
                  <c:v>1467.2826151342886</c:v>
                </c:pt>
                <c:pt idx="649">
                  <c:v>1458.5612841245211</c:v>
                </c:pt>
                <c:pt idx="650">
                  <c:v>1449.7726687377358</c:v>
                </c:pt>
                <c:pt idx="651">
                  <c:v>1440.9172676002188</c:v>
                </c:pt>
                <c:pt idx="652">
                  <c:v>1431.9955804911372</c:v>
                </c:pt>
                <c:pt idx="653">
                  <c:v>1423.0081082639185</c:v>
                </c:pt>
                <c:pt idx="654">
                  <c:v>1413.9553527681715</c:v>
                </c:pt>
                <c:pt idx="655">
                  <c:v>1404.8378167721662</c:v>
                </c:pt>
                <c:pt idx="656">
                  <c:v>1395.6560038858945</c:v>
                </c:pt>
                <c:pt idx="657">
                  <c:v>1386.4104184847258</c:v>
                </c:pt>
                <c:pt idx="658">
                  <c:v>1377.1015656336772</c:v>
                </c:pt>
                <c:pt idx="659">
                  <c:v>1367.7299510123153</c:v>
                </c:pt>
                <c:pt idx="660">
                  <c:v>1358.2960808403056</c:v>
                </c:pt>
                <c:pt idx="661">
                  <c:v>1348.8004618036257</c:v>
                </c:pt>
                <c:pt idx="662">
                  <c:v>1339.2436009814562</c:v>
                </c:pt>
                <c:pt idx="663">
                  <c:v>1329.6260057737679</c:v>
                </c:pt>
                <c:pt idx="664">
                  <c:v>1319.9481838296163</c:v>
                </c:pt>
                <c:pt idx="665">
                  <c:v>1310.2106429761586</c:v>
                </c:pt>
                <c:pt idx="666">
                  <c:v>1300.4138911484079</c:v>
                </c:pt>
                <c:pt idx="667">
                  <c:v>1290.5584363197338</c:v>
                </c:pt>
                <c:pt idx="668">
                  <c:v>1280.644786433128</c:v>
                </c:pt>
                <c:pt idx="669">
                  <c:v>1270.6734493332401</c:v>
                </c:pt>
                <c:pt idx="670">
                  <c:v>1260.6449326991994</c:v>
                </c:pt>
                <c:pt idx="671">
                  <c:v>1250.5597439782334</c:v>
                </c:pt>
                <c:pt idx="672">
                  <c:v>1240.4183903200906</c:v>
                </c:pt>
                <c:pt idx="673">
                  <c:v>1230.2213785122804</c:v>
                </c:pt>
                <c:pt idx="674">
                  <c:v>1219.969214916139</c:v>
                </c:pt>
                <c:pt idx="675">
                  <c:v>1209.6624054037288</c:v>
                </c:pt>
                <c:pt idx="676">
                  <c:v>1199.3014552955819</c:v>
                </c:pt>
                <c:pt idx="677">
                  <c:v>1188.8868692992935</c:v>
                </c:pt>
                <c:pt idx="678">
                  <c:v>1178.4191514489748</c:v>
                </c:pt>
                <c:pt idx="679">
                  <c:v>1167.8988050455707</c:v>
                </c:pt>
                <c:pt idx="680">
                  <c:v>1157.3263325980502</c:v>
                </c:pt>
                <c:pt idx="681">
                  <c:v>1146.7022357654744</c:v>
                </c:pt>
                <c:pt idx="682">
                  <c:v>1136.0270152999492</c:v>
                </c:pt>
                <c:pt idx="683">
                  <c:v>1125.3011709904663</c:v>
                </c:pt>
                <c:pt idx="684">
                  <c:v>1114.5252016076386</c:v>
                </c:pt>
                <c:pt idx="685">
                  <c:v>1103.6996048493329</c:v>
                </c:pt>
                <c:pt idx="686">
                  <c:v>1092.8248772872055</c:v>
                </c:pt>
                <c:pt idx="687">
                  <c:v>1081.9015143141417</c:v>
                </c:pt>
                <c:pt idx="688">
                  <c:v>1070.9300100926052</c:v>
                </c:pt>
                <c:pt idx="689">
                  <c:v>1059.9108575038981</c:v>
                </c:pt>
                <c:pt idx="690">
                  <c:v>1048.8445480983321</c:v>
                </c:pt>
                <c:pt idx="691">
                  <c:v>1037.7315720463166</c:v>
                </c:pt>
                <c:pt idx="692">
                  <c:v>1026.5724180903624</c:v>
                </c:pt>
                <c:pt idx="693">
                  <c:v>1015.3675734980013</c:v>
                </c:pt>
                <c:pt idx="694">
                  <c:v>1004.1175240156247</c:v>
                </c:pt>
                <c:pt idx="695">
                  <c:v>992.82275382323849</c:v>
                </c:pt>
                <c:pt idx="696">
                  <c:v>981.48374549013693</c:v>
                </c:pt>
                <c:pt idx="697">
                  <c:v>970.10097993149213</c:v>
                </c:pt>
                <c:pt idx="698">
                  <c:v>958.67493636586028</c:v>
                </c:pt>
                <c:pt idx="699">
                  <c:v>947.20609227360205</c:v>
                </c:pt>
                <c:pt idx="700">
                  <c:v>935.69492335621669</c:v>
                </c:pt>
                <c:pt idx="701">
                  <c:v>924.14190349658634</c:v>
                </c:pt>
                <c:pt idx="702">
                  <c:v>912.54750472012961</c:v>
                </c:pt>
                <c:pt idx="703">
                  <c:v>900.91219715686111</c:v>
                </c:pt>
                <c:pt idx="704">
                  <c:v>889.23644900435397</c:v>
                </c:pt>
                <c:pt idx="705">
                  <c:v>877.52072649160266</c:v>
                </c:pt>
                <c:pt idx="706">
                  <c:v>865.76549384378131</c:v>
                </c:pt>
                <c:pt idx="707">
                  <c:v>853.97121324789543</c:v>
                </c:pt>
                <c:pt idx="708">
                  <c:v>842.13834481932122</c:v>
                </c:pt>
                <c:pt idx="709">
                  <c:v>830.26734656922895</c:v>
                </c:pt>
                <c:pt idx="710">
                  <c:v>818.35867437288573</c:v>
                </c:pt>
                <c:pt idx="711">
                  <c:v>806.41278193883238</c:v>
                </c:pt>
                <c:pt idx="712">
                  <c:v>794.43012077892934</c:v>
                </c:pt>
                <c:pt idx="713">
                  <c:v>782.41114017926611</c:v>
                </c:pt>
                <c:pt idx="714">
                  <c:v>770.35628717192878</c:v>
                </c:pt>
                <c:pt idx="715">
                  <c:v>758.26600650761952</c:v>
                </c:pt>
                <c:pt idx="716">
                  <c:v>746.14074062912164</c:v>
                </c:pt>
                <c:pt idx="717">
                  <c:v>733.98092964560465</c:v>
                </c:pt>
                <c:pt idx="718">
                  <c:v>721.78701130776165</c:v>
                </c:pt>
                <c:pt idx="719">
                  <c:v>709.55942098377329</c:v>
                </c:pt>
                <c:pt idx="720">
                  <c:v>697.29859163609115</c:v>
                </c:pt>
                <c:pt idx="721">
                  <c:v>685.00495379903271</c:v>
                </c:pt>
                <c:pt idx="722">
                  <c:v>672.67893555718103</c:v>
                </c:pt>
                <c:pt idx="723">
                  <c:v>660.32096252458246</c:v>
                </c:pt>
                <c:pt idx="724">
                  <c:v>647.93145782473323</c:v>
                </c:pt>
                <c:pt idx="725">
                  <c:v>635.51084207134818</c:v>
                </c:pt>
                <c:pt idx="726">
                  <c:v>623.0595333499034</c:v>
                </c:pt>
                <c:pt idx="727">
                  <c:v>610.57794719994445</c:v>
                </c:pt>
                <c:pt idx="728">
                  <c:v>598.06649659815241</c:v>
                </c:pt>
                <c:pt idx="729">
                  <c:v>585.52559194215905</c:v>
                </c:pt>
                <c:pt idx="730">
                  <c:v>572.95564103510253</c:v>
                </c:pt>
                <c:pt idx="731">
                  <c:v>560.35704907091588</c:v>
                </c:pt>
                <c:pt idx="732">
                  <c:v>547.73021862033795</c:v>
                </c:pt>
                <c:pt idx="733">
                  <c:v>535.07554961764004</c:v>
                </c:pt>
                <c:pt idx="734">
                  <c:v>522.39343934805765</c:v>
                </c:pt>
                <c:pt idx="735">
                  <c:v>509.68428243591944</c:v>
                </c:pt>
                <c:pt idx="736">
                  <c:v>496.94847083346383</c:v>
                </c:pt>
                <c:pt idx="737">
                  <c:v>484.18639381033415</c:v>
                </c:pt>
                <c:pt idx="738">
                  <c:v>471.39843794374332</c:v>
                </c:pt>
                <c:pt idx="739">
                  <c:v>458.58498710929871</c:v>
                </c:pt>
                <c:pt idx="740">
                  <c:v>445.74642247247806</c:v>
                </c:pt>
                <c:pt idx="741">
                  <c:v>432.88312248074652</c:v>
                </c:pt>
                <c:pt idx="742">
                  <c:v>419.99546285630623</c:v>
                </c:pt>
                <c:pt idx="743">
                  <c:v>407.0838165894682</c:v>
                </c:pt>
                <c:pt idx="744">
                  <c:v>394.14855393263758</c:v>
                </c:pt>
                <c:pt idx="745">
                  <c:v>381.19004239490249</c:v>
                </c:pt>
                <c:pt idx="746">
                  <c:v>368.20864673721695</c:v>
                </c:pt>
                <c:pt idx="747">
                  <c:v>355.20472896816852</c:v>
                </c:pt>
                <c:pt idx="748">
                  <c:v>342.17864834032065</c:v>
                </c:pt>
                <c:pt idx="749">
                  <c:v>329.13076134712071</c:v>
                </c:pt>
                <c:pt idx="750">
                  <c:v>316.06142172036385</c:v>
                </c:pt>
                <c:pt idx="751">
                  <c:v>302.97098042820272</c:v>
                </c:pt>
                <c:pt idx="752">
                  <c:v>289.85978567369443</c:v>
                </c:pt>
                <c:pt idx="753">
                  <c:v>276.72818289387408</c:v>
                </c:pt>
                <c:pt idx="754">
                  <c:v>263.57651475934608</c:v>
                </c:pt>
                <c:pt idx="755">
                  <c:v>250.40512117438362</c:v>
                </c:pt>
                <c:pt idx="756">
                  <c:v>237.21433927752619</c:v>
                </c:pt>
                <c:pt idx="757">
                  <c:v>224.00450344266642</c:v>
                </c:pt>
                <c:pt idx="758">
                  <c:v>210.77594528061636</c:v>
                </c:pt>
                <c:pt idx="759">
                  <c:v>197.52899364114376</c:v>
                </c:pt>
                <c:pt idx="760">
                  <c:v>184.26397461546912</c:v>
                </c:pt>
                <c:pt idx="761">
                  <c:v>170.98121153921414</c:v>
                </c:pt>
                <c:pt idx="762">
                  <c:v>157.68102499579197</c:v>
                </c:pt>
                <c:pt idx="763">
                  <c:v>144.36373282023041</c:v>
                </c:pt>
                <c:pt idx="764">
                  <c:v>131.02965010341862</c:v>
                </c:pt>
                <c:pt idx="765">
                  <c:v>117.67908919676805</c:v>
                </c:pt>
                <c:pt idx="766">
                  <c:v>104.31235971727882</c:v>
                </c:pt>
                <c:pt idx="767">
                  <c:v>90.929768553002205</c:v>
                </c:pt>
                <c:pt idx="768">
                  <c:v>77.531619868890274</c:v>
                </c:pt>
                <c:pt idx="769">
                  <c:v>64.118215113023922</c:v>
                </c:pt>
                <c:pt idx="770">
                  <c:v>50.689853023210226</c:v>
                </c:pt>
                <c:pt idx="771">
                  <c:v>37.246829633940479</c:v>
                </c:pt>
                <c:pt idx="772">
                  <c:v>23.789438283700058</c:v>
                </c:pt>
                <c:pt idx="773">
                  <c:v>10.317969622621556</c:v>
                </c:pt>
                <c:pt idx="774">
                  <c:v>-3.1672883795274487</c:v>
                </c:pt>
                <c:pt idx="775">
                  <c:v>-3.1807804672232578</c:v>
                </c:pt>
                <c:pt idx="776">
                  <c:v>-3.1942725682809878</c:v>
                </c:pt>
                <c:pt idx="777">
                  <c:v>-3.2077646827003581</c:v>
                </c:pt>
                <c:pt idx="778">
                  <c:v>-3.2212568104810879</c:v>
                </c:pt>
                <c:pt idx="779">
                  <c:v>-3.2347489516228962</c:v>
                </c:pt>
                <c:pt idx="780">
                  <c:v>-3.2482411061255019</c:v>
                </c:pt>
                <c:pt idx="781">
                  <c:v>-3.2617332739886242</c:v>
                </c:pt>
                <c:pt idx="782">
                  <c:v>-3.2752254552119826</c:v>
                </c:pt>
                <c:pt idx="783">
                  <c:v>-3.2887176497952959</c:v>
                </c:pt>
                <c:pt idx="784">
                  <c:v>-3.3022098577382835</c:v>
                </c:pt>
                <c:pt idx="785">
                  <c:v>-3.3157020790406646</c:v>
                </c:pt>
                <c:pt idx="786">
                  <c:v>-3.3291943137021582</c:v>
                </c:pt>
                <c:pt idx="787">
                  <c:v>-3.3426865617224837</c:v>
                </c:pt>
                <c:pt idx="788">
                  <c:v>-3.3561788231013598</c:v>
                </c:pt>
                <c:pt idx="789">
                  <c:v>-3.369671097838506</c:v>
                </c:pt>
                <c:pt idx="790">
                  <c:v>-3.3831633859336416</c:v>
                </c:pt>
                <c:pt idx="791">
                  <c:v>-3.3966556873864855</c:v>
                </c:pt>
                <c:pt idx="792">
                  <c:v>-3.410148002196757</c:v>
                </c:pt>
                <c:pt idx="793">
                  <c:v>-3.4236403303641754</c:v>
                </c:pt>
                <c:pt idx="794">
                  <c:v>-3.4371326718884596</c:v>
                </c:pt>
                <c:pt idx="795">
                  <c:v>-3.450625026769329</c:v>
                </c:pt>
                <c:pt idx="796">
                  <c:v>-3.464117395006503</c:v>
                </c:pt>
                <c:pt idx="797">
                  <c:v>-3.4776097765997003</c:v>
                </c:pt>
                <c:pt idx="798">
                  <c:v>-3.4911021715486403</c:v>
                </c:pt>
                <c:pt idx="799">
                  <c:v>-3.5045945798530425</c:v>
                </c:pt>
                <c:pt idx="800">
                  <c:v>-3.5180870015126255</c:v>
                </c:pt>
                <c:pt idx="801">
                  <c:v>-3.5315794365271089</c:v>
                </c:pt>
                <c:pt idx="802">
                  <c:v>-3.5450718848962119</c:v>
                </c:pt>
                <c:pt idx="803">
                  <c:v>-3.5585643466196539</c:v>
                </c:pt>
                <c:pt idx="804">
                  <c:v>-3.5720568216971538</c:v>
                </c:pt>
                <c:pt idx="805">
                  <c:v>-3.5855493101284308</c:v>
                </c:pt>
                <c:pt idx="806">
                  <c:v>-3.5990418119132044</c:v>
                </c:pt>
                <c:pt idx="807">
                  <c:v>-3.6125343270511934</c:v>
                </c:pt>
                <c:pt idx="808">
                  <c:v>-3.6260268555421171</c:v>
                </c:pt>
                <c:pt idx="809">
                  <c:v>-3.639519397385695</c:v>
                </c:pt>
                <c:pt idx="810">
                  <c:v>-3.6530119525816462</c:v>
                </c:pt>
                <c:pt idx="811">
                  <c:v>-3.6665045211296903</c:v>
                </c:pt>
                <c:pt idx="812">
                  <c:v>-3.679997103029546</c:v>
                </c:pt>
                <c:pt idx="813">
                  <c:v>-3.6934896982809327</c:v>
                </c:pt>
                <c:pt idx="814">
                  <c:v>-3.7069823068835697</c:v>
                </c:pt>
                <c:pt idx="815">
                  <c:v>-3.7204749288371759</c:v>
                </c:pt>
                <c:pt idx="816">
                  <c:v>-3.7339675641414711</c:v>
                </c:pt>
                <c:pt idx="817">
                  <c:v>-3.7474602127961743</c:v>
                </c:pt>
                <c:pt idx="818">
                  <c:v>-3.7609528748010046</c:v>
                </c:pt>
                <c:pt idx="819">
                  <c:v>-3.7744455501556815</c:v>
                </c:pt>
                <c:pt idx="820">
                  <c:v>-3.7879382388599239</c:v>
                </c:pt>
                <c:pt idx="821">
                  <c:v>-3.8014309409134515</c:v>
                </c:pt>
                <c:pt idx="822">
                  <c:v>-3.8149236563159832</c:v>
                </c:pt>
                <c:pt idx="823">
                  <c:v>-3.8284163850672384</c:v>
                </c:pt>
                <c:pt idx="824">
                  <c:v>-3.8419091271669363</c:v>
                </c:pt>
                <c:pt idx="825">
                  <c:v>-3.8554018826147964</c:v>
                </c:pt>
                <c:pt idx="826">
                  <c:v>-3.868894651410538</c:v>
                </c:pt>
                <c:pt idx="827">
                  <c:v>-3.8823874335538799</c:v>
                </c:pt>
                <c:pt idx="828">
                  <c:v>-3.895880229044542</c:v>
                </c:pt>
                <c:pt idx="829">
                  <c:v>-3.9093730378822431</c:v>
                </c:pt>
                <c:pt idx="830">
                  <c:v>-3.9228658600667026</c:v>
                </c:pt>
                <c:pt idx="831">
                  <c:v>-3.9363586955976397</c:v>
                </c:pt>
                <c:pt idx="832">
                  <c:v>-3.9498515444747739</c:v>
                </c:pt>
                <c:pt idx="833">
                  <c:v>-3.9633444066978245</c:v>
                </c:pt>
                <c:pt idx="834">
                  <c:v>-3.9768372822665103</c:v>
                </c:pt>
                <c:pt idx="835">
                  <c:v>-3.9903301711805512</c:v>
                </c:pt>
                <c:pt idx="836">
                  <c:v>-4.0038230734396665</c:v>
                </c:pt>
                <c:pt idx="837">
                  <c:v>-4.017315989043575</c:v>
                </c:pt>
                <c:pt idx="838">
                  <c:v>-4.0308089179919966</c:v>
                </c:pt>
                <c:pt idx="839">
                  <c:v>-4.0443018602846497</c:v>
                </c:pt>
                <c:pt idx="840">
                  <c:v>-4.0577948159212545</c:v>
                </c:pt>
                <c:pt idx="841">
                  <c:v>-4.0712877849015303</c:v>
                </c:pt>
                <c:pt idx="842">
                  <c:v>-4.0847807672251957</c:v>
                </c:pt>
                <c:pt idx="843">
                  <c:v>-4.0982737628919708</c:v>
                </c:pt>
                <c:pt idx="844">
                  <c:v>-4.111766771901574</c:v>
                </c:pt>
                <c:pt idx="845">
                  <c:v>-4.1252597942537257</c:v>
                </c:pt>
                <c:pt idx="846">
                  <c:v>-4.1387528299481442</c:v>
                </c:pt>
                <c:pt idx="847">
                  <c:v>-4.1522458789845498</c:v>
                </c:pt>
                <c:pt idx="848">
                  <c:v>-4.1657389413626609</c:v>
                </c:pt>
                <c:pt idx="849">
                  <c:v>-4.1792320170821977</c:v>
                </c:pt>
                <c:pt idx="850">
                  <c:v>-4.1927251061428787</c:v>
                </c:pt>
                <c:pt idx="851">
                  <c:v>-4.2062182085444242</c:v>
                </c:pt>
                <c:pt idx="852">
                  <c:v>-4.2197113242865525</c:v>
                </c:pt>
                <c:pt idx="853">
                  <c:v>-4.233204453368983</c:v>
                </c:pt>
                <c:pt idx="854">
                  <c:v>-4.2466975957914359</c:v>
                </c:pt>
                <c:pt idx="855">
                  <c:v>-4.2601907515536297</c:v>
                </c:pt>
                <c:pt idx="856">
                  <c:v>-4.2736839206552846</c:v>
                </c:pt>
                <c:pt idx="857">
                  <c:v>-4.2871771030961199</c:v>
                </c:pt>
                <c:pt idx="858">
                  <c:v>-4.3006702988758541</c:v>
                </c:pt>
                <c:pt idx="859">
                  <c:v>-4.3141635079942073</c:v>
                </c:pt>
                <c:pt idx="860">
                  <c:v>-4.3276567304508982</c:v>
                </c:pt>
                <c:pt idx="861">
                  <c:v>-4.3411499662456468</c:v>
                </c:pt>
                <c:pt idx="862">
                  <c:v>-4.3546432153781724</c:v>
                </c:pt>
                <c:pt idx="863">
                  <c:v>-4.3681364778481937</c:v>
                </c:pt>
                <c:pt idx="864">
                  <c:v>-4.3816297536554307</c:v>
                </c:pt>
                <c:pt idx="865">
                  <c:v>-4.3951230427996029</c:v>
                </c:pt>
                <c:pt idx="866">
                  <c:v>-4.4086163452804294</c:v>
                </c:pt>
                <c:pt idx="867">
                  <c:v>-4.4221096610976289</c:v>
                </c:pt>
                <c:pt idx="868">
                  <c:v>-4.4356029902509215</c:v>
                </c:pt>
                <c:pt idx="869">
                  <c:v>-4.4490963327400266</c:v>
                </c:pt>
                <c:pt idx="870">
                  <c:v>-4.4625896885646634</c:v>
                </c:pt>
                <c:pt idx="871">
                  <c:v>-4.4760830577245523</c:v>
                </c:pt>
                <c:pt idx="872">
                  <c:v>-4.4895764402194116</c:v>
                </c:pt>
                <c:pt idx="873">
                  <c:v>-4.5030698360489607</c:v>
                </c:pt>
                <c:pt idx="874">
                  <c:v>-4.516563245212919</c:v>
                </c:pt>
                <c:pt idx="875">
                  <c:v>-4.5300566677110066</c:v>
                </c:pt>
                <c:pt idx="876">
                  <c:v>-4.543550103542942</c:v>
                </c:pt>
                <c:pt idx="877">
                  <c:v>-4.5570435527084454</c:v>
                </c:pt>
                <c:pt idx="878">
                  <c:v>-4.5705370152072353</c:v>
                </c:pt>
                <c:pt idx="879">
                  <c:v>-4.5840304910390319</c:v>
                </c:pt>
                <c:pt idx="880">
                  <c:v>-4.5975239802035546</c:v>
                </c:pt>
                <c:pt idx="881">
                  <c:v>-4.6110174827005217</c:v>
                </c:pt>
                <c:pt idx="882">
                  <c:v>-4.6245109985296535</c:v>
                </c:pt>
                <c:pt idx="883">
                  <c:v>-4.6380045276906694</c:v>
                </c:pt>
                <c:pt idx="884">
                  <c:v>-4.6514980701832895</c:v>
                </c:pt>
                <c:pt idx="885">
                  <c:v>-4.6649916260072324</c:v>
                </c:pt>
                <c:pt idx="886">
                  <c:v>-4.6784851951622173</c:v>
                </c:pt>
                <c:pt idx="887">
                  <c:v>-4.6919787776479644</c:v>
                </c:pt>
                <c:pt idx="888">
                  <c:v>-4.7054723734641923</c:v>
                </c:pt>
                <c:pt idx="889">
                  <c:v>-4.7189659826106212</c:v>
                </c:pt>
                <c:pt idx="890">
                  <c:v>-4.7324596050869703</c:v>
                </c:pt>
                <c:pt idx="891">
                  <c:v>-4.745953240892959</c:v>
                </c:pt>
                <c:pt idx="892">
                  <c:v>-4.7594468900283067</c:v>
                </c:pt>
                <c:pt idx="893">
                  <c:v>-4.7729405524927326</c:v>
                </c:pt>
                <c:pt idx="894">
                  <c:v>-4.7864342282859562</c:v>
                </c:pt>
                <c:pt idx="895">
                  <c:v>-4.7999279174076968</c:v>
                </c:pt>
                <c:pt idx="896">
                  <c:v>-4.8134216198576745</c:v>
                </c:pt>
                <c:pt idx="897">
                  <c:v>-4.8269153356356087</c:v>
                </c:pt>
                <c:pt idx="898">
                  <c:v>-4.8404090647412188</c:v>
                </c:pt>
                <c:pt idx="899">
                  <c:v>-4.8539028071742241</c:v>
                </c:pt>
                <c:pt idx="900">
                  <c:v>-4.8673965629343439</c:v>
                </c:pt>
                <c:pt idx="901">
                  <c:v>-4.8808903320212975</c:v>
                </c:pt>
                <c:pt idx="902">
                  <c:v>-4.8943841144348044</c:v>
                </c:pt>
                <c:pt idx="903">
                  <c:v>-4.9078779101745846</c:v>
                </c:pt>
                <c:pt idx="904">
                  <c:v>-4.9213717192403577</c:v>
                </c:pt>
                <c:pt idx="905">
                  <c:v>-4.9348655416318428</c:v>
                </c:pt>
                <c:pt idx="906">
                  <c:v>-4.9483593773487593</c:v>
                </c:pt>
                <c:pt idx="907">
                  <c:v>-4.9618532263908266</c:v>
                </c:pt>
                <c:pt idx="908">
                  <c:v>-4.975347088757764</c:v>
                </c:pt>
                <c:pt idx="909">
                  <c:v>-4.9888409644492917</c:v>
                </c:pt>
                <c:pt idx="910">
                  <c:v>-5.0023348534651291</c:v>
                </c:pt>
                <c:pt idx="911">
                  <c:v>-5.0158287558049945</c:v>
                </c:pt>
                <c:pt idx="912">
                  <c:v>-5.0293226714686092</c:v>
                </c:pt>
                <c:pt idx="913">
                  <c:v>-5.0428166004556916</c:v>
                </c:pt>
                <c:pt idx="914">
                  <c:v>-5.0563105427659609</c:v>
                </c:pt>
                <c:pt idx="915">
                  <c:v>-5.0698044983991375</c:v>
                </c:pt>
                <c:pt idx="916">
                  <c:v>-5.0832984673549406</c:v>
                </c:pt>
                <c:pt idx="917">
                  <c:v>-5.0967924496330896</c:v>
                </c:pt>
                <c:pt idx="918">
                  <c:v>-5.1102864452333039</c:v>
                </c:pt>
                <c:pt idx="919">
                  <c:v>-5.1237804541553036</c:v>
                </c:pt>
                <c:pt idx="920">
                  <c:v>-5.1372744763988072</c:v>
                </c:pt>
                <c:pt idx="921">
                  <c:v>-5.1507685119635349</c:v>
                </c:pt>
                <c:pt idx="922">
                  <c:v>-5.1642625608492061</c:v>
                </c:pt>
                <c:pt idx="923">
                  <c:v>-5.1777566230555401</c:v>
                </c:pt>
                <c:pt idx="924">
                  <c:v>-5.1912506985822571</c:v>
                </c:pt>
                <c:pt idx="925">
                  <c:v>-5.2047447874290764</c:v>
                </c:pt>
                <c:pt idx="926">
                  <c:v>-5.2182388895957175</c:v>
                </c:pt>
                <c:pt idx="927">
                  <c:v>-5.2317330050818995</c:v>
                </c:pt>
                <c:pt idx="928">
                  <c:v>-5.245227133887342</c:v>
                </c:pt>
                <c:pt idx="929">
                  <c:v>-5.258721276011765</c:v>
                </c:pt>
                <c:pt idx="930">
                  <c:v>-5.2722154314548879</c:v>
                </c:pt>
                <c:pt idx="931">
                  <c:v>-5.2857096002164301</c:v>
                </c:pt>
                <c:pt idx="932">
                  <c:v>-5.2992037822961109</c:v>
                </c:pt>
                <c:pt idx="933">
                  <c:v>-5.3126979776936505</c:v>
                </c:pt>
                <c:pt idx="934">
                  <c:v>-5.3261921864087682</c:v>
                </c:pt>
                <c:pt idx="935">
                  <c:v>-5.3396864084411835</c:v>
                </c:pt>
                <c:pt idx="936">
                  <c:v>-5.3531806437906155</c:v>
                </c:pt>
                <c:pt idx="937">
                  <c:v>-5.3666748924567846</c:v>
                </c:pt>
                <c:pt idx="938">
                  <c:v>-5.3801691544394092</c:v>
                </c:pt>
                <c:pt idx="939">
                  <c:v>-5.3936634297382096</c:v>
                </c:pt>
                <c:pt idx="940">
                  <c:v>-5.4071577183529058</c:v>
                </c:pt>
                <c:pt idx="941">
                  <c:v>-5.4206520202832165</c:v>
                </c:pt>
                <c:pt idx="942">
                  <c:v>-5.4341463355288617</c:v>
                </c:pt>
                <c:pt idx="943">
                  <c:v>-5.4476406640895618</c:v>
                </c:pt>
                <c:pt idx="944">
                  <c:v>-5.4611350059650352</c:v>
                </c:pt>
                <c:pt idx="945">
                  <c:v>-5.4746293611550021</c:v>
                </c:pt>
                <c:pt idx="946">
                  <c:v>-5.4881237296591818</c:v>
                </c:pt>
                <c:pt idx="947">
                  <c:v>-5.5016181114772937</c:v>
                </c:pt>
                <c:pt idx="948">
                  <c:v>-5.5151125066090581</c:v>
                </c:pt>
                <c:pt idx="949">
                  <c:v>-5.5286069150541941</c:v>
                </c:pt>
                <c:pt idx="950">
                  <c:v>-5.5421013368124212</c:v>
                </c:pt>
                <c:pt idx="951">
                  <c:v>-5.5555957718834588</c:v>
                </c:pt>
                <c:pt idx="952">
                  <c:v>-5.5690902202670269</c:v>
                </c:pt>
                <c:pt idx="953">
                  <c:v>-5.5825846819628451</c:v>
                </c:pt>
                <c:pt idx="954">
                  <c:v>-5.5960791569706325</c:v>
                </c:pt>
                <c:pt idx="955">
                  <c:v>-5.6095736452901095</c:v>
                </c:pt>
                <c:pt idx="956">
                  <c:v>-5.6230681469209953</c:v>
                </c:pt>
                <c:pt idx="957">
                  <c:v>-5.6365626618630094</c:v>
                </c:pt>
                <c:pt idx="958">
                  <c:v>-5.6500571901158718</c:v>
                </c:pt>
                <c:pt idx="959">
                  <c:v>-5.663551731679302</c:v>
                </c:pt>
                <c:pt idx="960">
                  <c:v>-5.6770462865530193</c:v>
                </c:pt>
                <c:pt idx="961">
                  <c:v>-5.690540854736744</c:v>
                </c:pt>
                <c:pt idx="962">
                  <c:v>-5.7040354362301953</c:v>
                </c:pt>
                <c:pt idx="963">
                  <c:v>-5.7175300310330925</c:v>
                </c:pt>
                <c:pt idx="964">
                  <c:v>-5.731024639145156</c:v>
                </c:pt>
                <c:pt idx="965">
                  <c:v>-5.7445192605661051</c:v>
                </c:pt>
                <c:pt idx="966">
                  <c:v>-5.758013895295659</c:v>
                </c:pt>
                <c:pt idx="967">
                  <c:v>-5.771508543333538</c:v>
                </c:pt>
                <c:pt idx="968">
                  <c:v>-5.7850032046794606</c:v>
                </c:pt>
                <c:pt idx="969">
                  <c:v>-5.7984978793331479</c:v>
                </c:pt>
                <c:pt idx="970">
                  <c:v>-5.8119925672943182</c:v>
                </c:pt>
                <c:pt idx="971">
                  <c:v>-5.8254872685626928</c:v>
                </c:pt>
                <c:pt idx="972">
                  <c:v>-5.8389819831379901</c:v>
                </c:pt>
                <c:pt idx="973">
                  <c:v>-5.8524767110199303</c:v>
                </c:pt>
                <c:pt idx="974">
                  <c:v>-5.8659714522082327</c:v>
                </c:pt>
                <c:pt idx="975">
                  <c:v>-5.8794662067026167</c:v>
                </c:pt>
                <c:pt idx="976">
                  <c:v>-5.8929609745028024</c:v>
                </c:pt>
                <c:pt idx="977">
                  <c:v>-5.9064557556085093</c:v>
                </c:pt>
                <c:pt idx="978">
                  <c:v>-5.9199505500194576</c:v>
                </c:pt>
                <c:pt idx="979">
                  <c:v>-5.9334453577353665</c:v>
                </c:pt>
                <c:pt idx="980">
                  <c:v>-5.9469401787559555</c:v>
                </c:pt>
                <c:pt idx="981">
                  <c:v>-5.9604350130809447</c:v>
                </c:pt>
                <c:pt idx="982">
                  <c:v>-5.9739298607100535</c:v>
                </c:pt>
                <c:pt idx="983">
                  <c:v>-5.9874247216430021</c:v>
                </c:pt>
                <c:pt idx="984">
                  <c:v>-6.0009195958795098</c:v>
                </c:pt>
                <c:pt idx="985">
                  <c:v>-6.0144144834192961</c:v>
                </c:pt>
                <c:pt idx="986">
                  <c:v>-6.027909384262081</c:v>
                </c:pt>
                <c:pt idx="987">
                  <c:v>-6.041404298407584</c:v>
                </c:pt>
                <c:pt idx="988">
                  <c:v>-6.0548992258555243</c:v>
                </c:pt>
                <c:pt idx="989">
                  <c:v>-6.0683941666056223</c:v>
                </c:pt>
                <c:pt idx="990">
                  <c:v>-6.081889120657598</c:v>
                </c:pt>
                <c:pt idx="991">
                  <c:v>-6.09538408801117</c:v>
                </c:pt>
                <c:pt idx="992">
                  <c:v>-6.1088790686660586</c:v>
                </c:pt>
                <c:pt idx="993">
                  <c:v>-6.1223740626219838</c:v>
                </c:pt>
                <c:pt idx="994">
                  <c:v>-6.1358690698786651</c:v>
                </c:pt>
                <c:pt idx="995">
                  <c:v>-6.1493640904358227</c:v>
                </c:pt>
                <c:pt idx="996">
                  <c:v>-6.162859124293175</c:v>
                </c:pt>
                <c:pt idx="997">
                  <c:v>-6.1763541714504431</c:v>
                </c:pt>
                <c:pt idx="998">
                  <c:v>-6.1898492319073455</c:v>
                </c:pt>
                <c:pt idx="999">
                  <c:v>-6.2033443056636033</c:v>
                </c:pt>
                <c:pt idx="1000">
                  <c:v>-6.2168393927189349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0-FB44-B75E-51812F6E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4576"/>
        <c:axId val="1"/>
      </c:scatterChart>
      <c:valAx>
        <c:axId val="1805984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Positions [m]</a:t>
                </a:r>
              </a:p>
            </c:rich>
          </c:tx>
          <c:layout>
            <c:manualLayout>
              <c:xMode val="edge"/>
              <c:yMode val="edge"/>
              <c:x val="2.0047169811320754E-2"/>
              <c:y val="0.300654768153980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84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02074463926657"/>
          <c:y val="0.49147026534597421"/>
          <c:w val="0.12627396663822255"/>
          <c:h val="0.153851561325696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Propu!$A$2</c:f>
          <c:strCache>
            <c:ptCount val="1"/>
            <c:pt idx="0">
              <c:v>Barasinga (Pro54-5G)</c:v>
            </c:pt>
          </c:strCache>
        </c:strRef>
      </c:tx>
      <c:layout>
        <c:manualLayout>
          <c:xMode val="edge"/>
          <c:yMode val="edge"/>
          <c:x val="0.47127077646762683"/>
          <c:y val="3.917859239317449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96559551677719E-2"/>
          <c:y val="5.5426586068345704E-2"/>
          <c:w val="0.88973722710617953"/>
          <c:h val="0.82390179871348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Propu!$A$4</c:f>
              <c:strCache>
                <c:ptCount val="1"/>
                <c:pt idx="0">
                  <c:v>Poussée (en N)</c:v>
                </c:pt>
              </c:strCache>
            </c:strRef>
          </c:tx>
          <c:spPr>
            <a:ln w="2540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Propu!$B$3:$X$3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2.97</c:v>
                </c:pt>
                <c:pt idx="8">
                  <c:v>3.2</c:v>
                </c:pt>
                <c:pt idx="9">
                  <c:v>3.47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3.59</c:v>
                </c:pt>
              </c:numCache>
            </c:numRef>
          </c:xVal>
          <c:yVal>
            <c:numRef>
              <c:f>Propu!$B$4:$X$4</c:f>
              <c:numCache>
                <c:formatCode>General</c:formatCode>
                <c:ptCount val="23"/>
                <c:pt idx="0">
                  <c:v>0</c:v>
                </c:pt>
                <c:pt idx="1">
                  <c:v>893</c:v>
                </c:pt>
                <c:pt idx="2">
                  <c:v>798</c:v>
                </c:pt>
                <c:pt idx="3">
                  <c:v>739</c:v>
                </c:pt>
                <c:pt idx="4">
                  <c:v>659</c:v>
                </c:pt>
                <c:pt idx="5">
                  <c:v>586</c:v>
                </c:pt>
                <c:pt idx="6">
                  <c:v>513</c:v>
                </c:pt>
                <c:pt idx="7">
                  <c:v>417</c:v>
                </c:pt>
                <c:pt idx="8">
                  <c:v>225</c:v>
                </c:pt>
                <c:pt idx="9">
                  <c:v>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9-674F-B487-8B8E0AC5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25184"/>
        <c:axId val="1"/>
      </c:scatterChart>
      <c:valAx>
        <c:axId val="1806025184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/ Time [s]</a:t>
                </a:r>
              </a:p>
            </c:rich>
          </c:tx>
          <c:layout>
            <c:manualLayout>
              <c:xMode val="edge"/>
              <c:yMode val="edge"/>
              <c:x val="0.78665554917523417"/>
              <c:y val="0.68868125417484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Poussée / Thrust [N]</a:t>
                </a:r>
              </a:p>
            </c:rich>
          </c:tx>
          <c:layout>
            <c:manualLayout>
              <c:xMode val="edge"/>
              <c:yMode val="edge"/>
              <c:x val="8.5144147191391295E-2"/>
              <c:y val="0.35327652166872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02518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Spin" dx="15" fmlaLink="$C$22" inc="25" max="30000" noThreeD="1" page="10" val="200"/>
</file>

<file path=xl/ctrlProps/ctrlProp10.xml><?xml version="1.0" encoding="utf-8"?>
<formControlPr xmlns="http://schemas.microsoft.com/office/spreadsheetml/2009/9/main" objectType="Spin" dx="15" fmlaLink="$C$32" max="6" min="3" noThreeD="1" page="10" val="4"/>
</file>

<file path=xl/ctrlProps/ctrlProp11.xml><?xml version="1.0" encoding="utf-8"?>
<formControlPr xmlns="http://schemas.microsoft.com/office/spreadsheetml/2009/9/main" objectType="Spin" dx="15" fmlaLink="$C$13" inc="50" max="30000" noThreeD="1" page="10" val="1950"/>
</file>

<file path=xl/ctrlProps/ctrlProp12.xml><?xml version="1.0" encoding="utf-8"?>
<formControlPr xmlns="http://schemas.microsoft.com/office/spreadsheetml/2009/9/main" objectType="Spin" dx="15" fmlaLink="$C$11" inc="100" max="30000" noThreeD="1" page="10" val="5500"/>
</file>

<file path=xl/ctrlProps/ctrlProp13.xml><?xml version="1.0" encoding="utf-8"?>
<formControlPr xmlns="http://schemas.microsoft.com/office/spreadsheetml/2009/9/main" objectType="Spin" dx="15" fmlaLink="$C$11" inc="100" max="30000" noThreeD="1" page="10" val="5500"/>
</file>

<file path=xl/ctrlProps/ctrlProp14.xml><?xml version="1.0" encoding="utf-8"?>
<formControlPr xmlns="http://schemas.microsoft.com/office/spreadsheetml/2009/9/main" objectType="Spin" dx="15" fmlaLink="Stabilito!C11" inc="100" max="30000" noThreeD="1" page="10" val="5500"/>
</file>

<file path=xl/ctrlProps/ctrlProp15.xml><?xml version="1.0" encoding="utf-8"?>
<formControlPr xmlns="http://schemas.microsoft.com/office/spreadsheetml/2009/9/main" objectType="Spin" dx="15" fmlaLink="$B$43" inc="50" max="30000" noThreeD="1" page="10" val="549"/>
</file>

<file path=xl/ctrlProps/ctrlProp16.xml><?xml version="1.0" encoding="utf-8"?>
<formControlPr xmlns="http://schemas.microsoft.com/office/spreadsheetml/2009/9/main" objectType="Spin" dx="15" fmlaLink="$B$45" inc="50" max="30000" noThreeD="1" page="10" val="549"/>
</file>

<file path=xl/ctrlProps/ctrlProp17.xml><?xml version="1.0" encoding="utf-8"?>
<formControlPr xmlns="http://schemas.microsoft.com/office/spreadsheetml/2009/9/main" objectType="Spin" dx="15" fmlaLink="$B$51" inc="50" max="30000" noThreeD="1" page="10" val="299"/>
</file>

<file path=xl/ctrlProps/ctrlProp18.xml><?xml version="1.0" encoding="utf-8"?>
<formControlPr xmlns="http://schemas.microsoft.com/office/spreadsheetml/2009/9/main" objectType="Spin" dx="15" fmlaLink="$B$53" inc="5" max="30000" noThreeD="1" page="10" val="29"/>
</file>

<file path=xl/ctrlProps/ctrlProp19.xml><?xml version="1.0" encoding="utf-8"?>
<formControlPr xmlns="http://schemas.microsoft.com/office/spreadsheetml/2009/9/main" objectType="Spin" dx="15" fmlaLink="Stabilito!C11" inc="100" max="30000" noThreeD="1" page="10" val="5500"/>
</file>

<file path=xl/ctrlProps/ctrlProp2.xml><?xml version="1.0" encoding="utf-8"?>
<formControlPr xmlns="http://schemas.microsoft.com/office/spreadsheetml/2009/9/main" objectType="Spin" dx="15" fmlaLink="$C$11" inc="100" max="30000" noThreeD="1" page="10" val="5500"/>
</file>

<file path=xl/ctrlProps/ctrlProp20.xml><?xml version="1.0" encoding="utf-8"?>
<formControlPr xmlns="http://schemas.microsoft.com/office/spreadsheetml/2009/9/main" objectType="Spin" dx="15" fmlaLink="Stabilito!C11" inc="100" max="30000" noThreeD="1" page="10" val="5500"/>
</file>

<file path=xl/ctrlProps/ctrlProp3.xml><?xml version="1.0" encoding="utf-8"?>
<formControlPr xmlns="http://schemas.microsoft.com/office/spreadsheetml/2009/9/main" objectType="Spin" dx="15" fmlaLink="$C$12" inc="50" max="30000" noThreeD="1" page="10" val="950"/>
</file>

<file path=xl/ctrlProps/ctrlProp4.xml><?xml version="1.0" encoding="utf-8"?>
<formControlPr xmlns="http://schemas.microsoft.com/office/spreadsheetml/2009/9/main" objectType="Spin" dx="15" fmlaLink="$C$23" inc="20" max="30000" noThreeD="1" page="10" val="84"/>
</file>

<file path=xl/ctrlProps/ctrlProp5.xml><?xml version="1.0" encoding="utf-8"?>
<formControlPr xmlns="http://schemas.microsoft.com/office/spreadsheetml/2009/9/main" objectType="Spin" dx="15" fmlaLink="$C$27" inc="10" max="30000" noThreeD="1" page="10" val="170"/>
</file>

<file path=xl/ctrlProps/ctrlProp6.xml><?xml version="1.0" encoding="utf-8"?>
<formControlPr xmlns="http://schemas.microsoft.com/office/spreadsheetml/2009/9/main" objectType="Spin" dx="15" fmlaLink="$C$28" inc="10" max="30000" noThreeD="1" page="10" val="190"/>
</file>

<file path=xl/ctrlProps/ctrlProp7.xml><?xml version="1.0" encoding="utf-8"?>
<formControlPr xmlns="http://schemas.microsoft.com/office/spreadsheetml/2009/9/main" objectType="Spin" dx="15" fmlaLink="$C$29" inc="10" max="30000" noThreeD="1" page="10" val="40"/>
</file>

<file path=xl/ctrlProps/ctrlProp8.xml><?xml version="1.0" encoding="utf-8"?>
<formControlPr xmlns="http://schemas.microsoft.com/office/spreadsheetml/2009/9/main" objectType="Spin" dx="15" fmlaLink="$C$30" inc="10" max="30000" noThreeD="1" page="10" val="140"/>
</file>

<file path=xl/ctrlProps/ctrlProp9.xml><?xml version="1.0" encoding="utf-8"?>
<formControlPr xmlns="http://schemas.microsoft.com/office/spreadsheetml/2009/9/main" objectType="Spin" dx="15" fmlaLink="$C$31" max="30000" noThreeD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5.png"/><Relationship Id="rId1" Type="http://schemas.openxmlformats.org/officeDocument/2006/relationships/image" Target="../media/image4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" Type="http://schemas.openxmlformats.org/officeDocument/2006/relationships/image" Target="../media/image9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0" Type="http://schemas.openxmlformats.org/officeDocument/2006/relationships/image" Target="../media/image26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8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25400</xdr:rowOff>
    </xdr:from>
    <xdr:to>
      <xdr:col>12</xdr:col>
      <xdr:colOff>533400</xdr:colOff>
      <xdr:row>1</xdr:row>
      <xdr:rowOff>139700</xdr:rowOff>
    </xdr:to>
    <xdr:grpSp>
      <xdr:nvGrpSpPr>
        <xdr:cNvPr id="5097044" name="Groupe 1">
          <a:extLst>
            <a:ext uri="{FF2B5EF4-FFF2-40B4-BE49-F238E27FC236}">
              <a16:creationId xmlns:a16="http://schemas.microsoft.com/office/drawing/2014/main" id="{00000000-0008-0000-0000-000054C64D00}"/>
            </a:ext>
          </a:extLst>
        </xdr:cNvPr>
        <xdr:cNvGrpSpPr>
          <a:grpSpLocks/>
        </xdr:cNvGrpSpPr>
      </xdr:nvGrpSpPr>
      <xdr:grpSpPr bwMode="auto">
        <a:xfrm>
          <a:off x="7388639" y="191052"/>
          <a:ext cx="508000" cy="114300"/>
          <a:chOff x="7067550" y="190500"/>
          <a:chExt cx="438150" cy="114300"/>
        </a:xfrm>
      </xdr:grpSpPr>
      <xdr:pic>
        <xdr:nvPicPr>
          <xdr:cNvPr id="5097050" name="Image 1">
            <a:extLst>
              <a:ext uri="{FF2B5EF4-FFF2-40B4-BE49-F238E27FC236}">
                <a16:creationId xmlns:a16="http://schemas.microsoft.com/office/drawing/2014/main" id="{00000000-0008-0000-0000-00005A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67550" y="190500"/>
            <a:ext cx="171450" cy="114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097051" name="Image 2">
            <a:extLst>
              <a:ext uri="{FF2B5EF4-FFF2-40B4-BE49-F238E27FC236}">
                <a16:creationId xmlns:a16="http://schemas.microsoft.com/office/drawing/2014/main" id="{00000000-0008-0000-0000-00005B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77100" y="190500"/>
            <a:ext cx="228600" cy="114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304800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5097045" name="Graphique 9">
          <a:extLst>
            <a:ext uri="{FF2B5EF4-FFF2-40B4-BE49-F238E27FC236}">
              <a16:creationId xmlns:a16="http://schemas.microsoft.com/office/drawing/2014/main" id="{00000000-0008-0000-0000-000055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5097046" name="Graphique 19">
          <a:extLst>
            <a:ext uri="{FF2B5EF4-FFF2-40B4-BE49-F238E27FC236}">
              <a16:creationId xmlns:a16="http://schemas.microsoft.com/office/drawing/2014/main" id="{00000000-0008-0000-0000-000056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149831</xdr:rowOff>
    </xdr:to>
    <xdr:pic>
      <xdr:nvPicPr>
        <xdr:cNvPr id="5097047" name="Picture 8" descr="logoplasci">
          <a:extLst>
            <a:ext uri="{FF2B5EF4-FFF2-40B4-BE49-F238E27FC236}">
              <a16:creationId xmlns:a16="http://schemas.microsoft.com/office/drawing/2014/main" id="{00000000-0008-0000-0000-000057C6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2400"/>
          <a:ext cx="1079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860425</xdr:colOff>
      <xdr:row>48</xdr:row>
      <xdr:rowOff>63500</xdr:rowOff>
    </xdr:to>
    <xdr:pic>
      <xdr:nvPicPr>
        <xdr:cNvPr id="5097048" name="Image 1">
          <a:extLst>
            <a:ext uri="{FF2B5EF4-FFF2-40B4-BE49-F238E27FC236}">
              <a16:creationId xmlns:a16="http://schemas.microsoft.com/office/drawing/2014/main" id="{00000000-0008-0000-0000-000058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5638800"/>
          <a:ext cx="2171700" cy="187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12700</xdr:rowOff>
    </xdr:from>
    <xdr:to>
      <xdr:col>20</xdr:col>
      <xdr:colOff>609600</xdr:colOff>
      <xdr:row>9</xdr:row>
      <xdr:rowOff>12700</xdr:rowOff>
    </xdr:to>
    <xdr:pic>
      <xdr:nvPicPr>
        <xdr:cNvPr id="5097049" name="Image 2">
          <a:extLst>
            <a:ext uri="{FF2B5EF4-FFF2-40B4-BE49-F238E27FC236}">
              <a16:creationId xmlns:a16="http://schemas.microsoft.com/office/drawing/2014/main" id="{00000000-0008-0000-0000-000059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69900"/>
          <a:ext cx="23368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21</xdr:row>
          <xdr:rowOff>9525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6775" name="Spinner 935" hidden="1">
              <a:extLst>
                <a:ext uri="{63B3BB69-23CF-44E3-9099-C40C66FF867C}">
                  <a14:compatExt spid="_x0000_s36775"/>
                </a:ext>
                <a:ext uri="{FF2B5EF4-FFF2-40B4-BE49-F238E27FC236}">
                  <a16:creationId xmlns:a16="http://schemas.microsoft.com/office/drawing/2014/main" id="{00000000-0008-0000-0000-0000A7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10</xdr:row>
          <xdr:rowOff>9525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36781" name="Spinner 941" hidden="1">
              <a:extLst>
                <a:ext uri="{63B3BB69-23CF-44E3-9099-C40C66FF867C}">
                  <a14:compatExt spid="_x0000_s36781"/>
                </a:ext>
                <a:ext uri="{FF2B5EF4-FFF2-40B4-BE49-F238E27FC236}">
                  <a16:creationId xmlns:a16="http://schemas.microsoft.com/office/drawing/2014/main" id="{00000000-0008-0000-0000-0000A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11</xdr:row>
          <xdr:rowOff>9525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36782" name="Spinner 942" hidden="1">
              <a:extLst>
                <a:ext uri="{63B3BB69-23CF-44E3-9099-C40C66FF867C}">
                  <a14:compatExt spid="_x0000_s36782"/>
                </a:ext>
                <a:ext uri="{FF2B5EF4-FFF2-40B4-BE49-F238E27FC236}">
                  <a16:creationId xmlns:a16="http://schemas.microsoft.com/office/drawing/2014/main" id="{00000000-0008-0000-0000-0000A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22</xdr:row>
          <xdr:rowOff>9525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36783" name="Spinner 943" hidden="1">
              <a:extLst>
                <a:ext uri="{63B3BB69-23CF-44E3-9099-C40C66FF867C}">
                  <a14:compatExt spid="_x0000_s36783"/>
                </a:ext>
                <a:ext uri="{FF2B5EF4-FFF2-40B4-BE49-F238E27FC236}">
                  <a16:creationId xmlns:a16="http://schemas.microsoft.com/office/drawing/2014/main" id="{00000000-0008-0000-0000-0000A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26</xdr:row>
          <xdr:rowOff>9525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36789" name="Spinner 949" hidden="1">
              <a:extLst>
                <a:ext uri="{63B3BB69-23CF-44E3-9099-C40C66FF867C}">
                  <a14:compatExt spid="_x0000_s36789"/>
                </a:ext>
                <a:ext uri="{FF2B5EF4-FFF2-40B4-BE49-F238E27FC236}">
                  <a16:creationId xmlns:a16="http://schemas.microsoft.com/office/drawing/2014/main" id="{00000000-0008-0000-0000-0000B5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27</xdr:row>
          <xdr:rowOff>9525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6795" name="Spinner 955" hidden="1">
              <a:extLst>
                <a:ext uri="{63B3BB69-23CF-44E3-9099-C40C66FF867C}">
                  <a14:compatExt spid="_x0000_s36795"/>
                </a:ext>
                <a:ext uri="{FF2B5EF4-FFF2-40B4-BE49-F238E27FC236}">
                  <a16:creationId xmlns:a16="http://schemas.microsoft.com/office/drawing/2014/main" id="{00000000-0008-0000-0000-0000BB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28</xdr:row>
          <xdr:rowOff>9525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6796" name="Spinner 956" hidden="1">
              <a:extLst>
                <a:ext uri="{63B3BB69-23CF-44E3-9099-C40C66FF867C}">
                  <a14:compatExt spid="_x0000_s36796"/>
                </a:ext>
                <a:ext uri="{FF2B5EF4-FFF2-40B4-BE49-F238E27FC236}">
                  <a16:creationId xmlns:a16="http://schemas.microsoft.com/office/drawing/2014/main" id="{00000000-0008-0000-0000-0000BC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29</xdr:row>
          <xdr:rowOff>9525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36797" name="Spinner 957" hidden="1">
              <a:extLst>
                <a:ext uri="{63B3BB69-23CF-44E3-9099-C40C66FF867C}">
                  <a14:compatExt spid="_x0000_s36797"/>
                </a:ext>
                <a:ext uri="{FF2B5EF4-FFF2-40B4-BE49-F238E27FC236}">
                  <a16:creationId xmlns:a16="http://schemas.microsoft.com/office/drawing/2014/main" id="{00000000-0008-0000-0000-0000B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30</xdr:row>
          <xdr:rowOff>9525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36798" name="Spinner 958" hidden="1">
              <a:extLst>
                <a:ext uri="{63B3BB69-23CF-44E3-9099-C40C66FF867C}">
                  <a14:compatExt spid="_x0000_s36798"/>
                </a:ext>
                <a:ext uri="{FF2B5EF4-FFF2-40B4-BE49-F238E27FC236}">
                  <a16:creationId xmlns:a16="http://schemas.microsoft.com/office/drawing/2014/main" id="{00000000-0008-0000-0000-0000B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31</xdr:row>
          <xdr:rowOff>9525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36799" name="Spinner 959" hidden="1">
              <a:extLst>
                <a:ext uri="{63B3BB69-23CF-44E3-9099-C40C66FF867C}">
                  <a14:compatExt spid="_x0000_s36799"/>
                </a:ext>
                <a:ext uri="{FF2B5EF4-FFF2-40B4-BE49-F238E27FC236}">
                  <a16:creationId xmlns:a16="http://schemas.microsoft.com/office/drawing/2014/main" id="{00000000-0008-0000-0000-0000B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12</xdr:row>
          <xdr:rowOff>9525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6801" name="Spinner 961" hidden="1">
              <a:extLst>
                <a:ext uri="{63B3BB69-23CF-44E3-9099-C40C66FF867C}">
                  <a14:compatExt spid="_x0000_s36801"/>
                </a:ext>
                <a:ext uri="{FF2B5EF4-FFF2-40B4-BE49-F238E27FC236}">
                  <a16:creationId xmlns:a16="http://schemas.microsoft.com/office/drawing/2014/main" id="{00000000-0008-0000-0000-0000C1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1" name="Spinner 3315" hidden="1">
              <a:extLst>
                <a:ext uri="{63B3BB69-23CF-44E3-9099-C40C66FF867C}">
                  <a14:compatExt spid="_x0000_s5096691"/>
                </a:ext>
                <a:ext uri="{FF2B5EF4-FFF2-40B4-BE49-F238E27FC236}">
                  <a16:creationId xmlns:a16="http://schemas.microsoft.com/office/drawing/2014/main" id="{00000000-0008-0000-0000-0000F3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2" name="Spinner 3316" hidden="1">
              <a:extLst>
                <a:ext uri="{63B3BB69-23CF-44E3-9099-C40C66FF867C}">
                  <a14:compatExt spid="_x0000_s5096692"/>
                </a:ext>
                <a:ext uri="{FF2B5EF4-FFF2-40B4-BE49-F238E27FC236}">
                  <a16:creationId xmlns:a16="http://schemas.microsoft.com/office/drawing/2014/main" id="{00000000-0008-0000-0000-0000F4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5605413" name="Graphique 1">
          <a:extLst>
            <a:ext uri="{FF2B5EF4-FFF2-40B4-BE49-F238E27FC236}">
              <a16:creationId xmlns:a16="http://schemas.microsoft.com/office/drawing/2014/main" id="{00000000-0008-0000-0100-00002588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5605414" name="Graphique 2">
          <a:extLst>
            <a:ext uri="{FF2B5EF4-FFF2-40B4-BE49-F238E27FC236}">
              <a16:creationId xmlns:a16="http://schemas.microsoft.com/office/drawing/2014/main" id="{00000000-0008-0000-0100-00002688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5</xdr:row>
      <xdr:rowOff>0</xdr:rowOff>
    </xdr:to>
    <xdr:pic>
      <xdr:nvPicPr>
        <xdr:cNvPr id="5605415" name="Picture 8" descr="logoplasci">
          <a:extLst>
            <a:ext uri="{FF2B5EF4-FFF2-40B4-BE49-F238E27FC236}">
              <a16:creationId xmlns:a16="http://schemas.microsoft.com/office/drawing/2014/main" id="{00000000-0008-0000-0100-00002788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38</xdr:row>
      <xdr:rowOff>114300</xdr:rowOff>
    </xdr:from>
    <xdr:to>
      <xdr:col>3</xdr:col>
      <xdr:colOff>787400</xdr:colOff>
      <xdr:row>46</xdr:row>
      <xdr:rowOff>0</xdr:rowOff>
    </xdr:to>
    <xdr:grpSp>
      <xdr:nvGrpSpPr>
        <xdr:cNvPr id="5605416" name="Groupe 1">
          <a:extLst>
            <a:ext uri="{FF2B5EF4-FFF2-40B4-BE49-F238E27FC236}">
              <a16:creationId xmlns:a16="http://schemas.microsoft.com/office/drawing/2014/main" id="{00000000-0008-0000-0100-000028885500}"/>
            </a:ext>
          </a:extLst>
        </xdr:cNvPr>
        <xdr:cNvGrpSpPr>
          <a:grpSpLocks/>
        </xdr:cNvGrpSpPr>
      </xdr:nvGrpSpPr>
      <xdr:grpSpPr bwMode="auto">
        <a:xfrm>
          <a:off x="1390650" y="6276975"/>
          <a:ext cx="1368425" cy="1181100"/>
          <a:chOff x="1362075" y="6410325"/>
          <a:chExt cx="1319468" cy="1181100"/>
        </a:xfrm>
      </xdr:grpSpPr>
      <xdr:sp macro="" textlink="">
        <xdr:nvSpPr>
          <xdr:cNvPr id="5605421" name="Line 320">
            <a:extLst>
              <a:ext uri="{FF2B5EF4-FFF2-40B4-BE49-F238E27FC236}">
                <a16:creationId xmlns:a16="http://schemas.microsoft.com/office/drawing/2014/main" id="{00000000-0008-0000-0100-00002D88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2415" y="7296150"/>
            <a:ext cx="35118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2" name="Rectangle 314">
            <a:extLst>
              <a:ext uri="{FF2B5EF4-FFF2-40B4-BE49-F238E27FC236}">
                <a16:creationId xmlns:a16="http://schemas.microsoft.com/office/drawing/2014/main" id="{00000000-0008-0000-0100-00002E885500}"/>
              </a:ext>
            </a:extLst>
          </xdr:cNvPr>
          <xdr:cNvSpPr>
            <a:spLocks noChangeArrowheads="1"/>
          </xdr:cNvSpPr>
        </xdr:nvSpPr>
        <xdr:spPr bwMode="auto">
          <a:xfrm>
            <a:off x="1833672" y="6410325"/>
            <a:ext cx="481630" cy="1181100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05423" name="Rectangle 315">
            <a:extLst>
              <a:ext uri="{FF2B5EF4-FFF2-40B4-BE49-F238E27FC236}">
                <a16:creationId xmlns:a16="http://schemas.microsoft.com/office/drawing/2014/main" id="{00000000-0008-0000-0100-00002F8855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1838363" y="6388995"/>
            <a:ext cx="482283" cy="1204076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05424" name="Line 316">
            <a:extLst>
              <a:ext uri="{FF2B5EF4-FFF2-40B4-BE49-F238E27FC236}">
                <a16:creationId xmlns:a16="http://schemas.microsoft.com/office/drawing/2014/main" id="{00000000-0008-0000-0100-000030885500}"/>
              </a:ext>
            </a:extLst>
          </xdr:cNvPr>
          <xdr:cNvSpPr>
            <a:spLocks noChangeShapeType="1"/>
          </xdr:cNvSpPr>
        </xdr:nvSpPr>
        <xdr:spPr bwMode="auto">
          <a:xfrm>
            <a:off x="1833672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5" name="Line 317">
            <a:extLst>
              <a:ext uri="{FF2B5EF4-FFF2-40B4-BE49-F238E27FC236}">
                <a16:creationId xmlns:a16="http://schemas.microsoft.com/office/drawing/2014/main" id="{00000000-0008-0000-0100-000031885500}"/>
              </a:ext>
            </a:extLst>
          </xdr:cNvPr>
          <xdr:cNvSpPr>
            <a:spLocks noChangeShapeType="1"/>
          </xdr:cNvSpPr>
        </xdr:nvSpPr>
        <xdr:spPr bwMode="auto">
          <a:xfrm>
            <a:off x="2312198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6" name="Line 319">
            <a:extLst>
              <a:ext uri="{FF2B5EF4-FFF2-40B4-BE49-F238E27FC236}">
                <a16:creationId xmlns:a16="http://schemas.microsoft.com/office/drawing/2014/main" id="{00000000-0008-0000-0100-000032885500}"/>
              </a:ext>
            </a:extLst>
          </xdr:cNvPr>
          <xdr:cNvSpPr>
            <a:spLocks noChangeShapeType="1"/>
          </xdr:cNvSpPr>
        </xdr:nvSpPr>
        <xdr:spPr bwMode="auto">
          <a:xfrm>
            <a:off x="1362075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279400</xdr:colOff>
      <xdr:row>49</xdr:row>
      <xdr:rowOff>25400</xdr:rowOff>
    </xdr:from>
    <xdr:to>
      <xdr:col>3</xdr:col>
      <xdr:colOff>558800</xdr:colOff>
      <xdr:row>54</xdr:row>
      <xdr:rowOff>114300</xdr:rowOff>
    </xdr:to>
    <xdr:sp macro="" textlink="">
      <xdr:nvSpPr>
        <xdr:cNvPr id="5605417" name="Oval 323">
          <a:extLst>
            <a:ext uri="{FF2B5EF4-FFF2-40B4-BE49-F238E27FC236}">
              <a16:creationId xmlns:a16="http://schemas.microsoft.com/office/drawing/2014/main" id="{00000000-0008-0000-0100-000029885500}"/>
            </a:ext>
          </a:extLst>
        </xdr:cNvPr>
        <xdr:cNvSpPr>
          <a:spLocks noChangeArrowheads="1"/>
        </xdr:cNvSpPr>
      </xdr:nvSpPr>
      <xdr:spPr bwMode="auto">
        <a:xfrm>
          <a:off x="1689100" y="7899400"/>
          <a:ext cx="1143000" cy="914400"/>
        </a:xfrm>
        <a:prstGeom prst="ellipse">
          <a:avLst/>
        </a:prstGeom>
        <a:solidFill>
          <a:srgbClr val="F2F2F2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762000</xdr:colOff>
      <xdr:row>51</xdr:row>
      <xdr:rowOff>63500</xdr:rowOff>
    </xdr:from>
    <xdr:to>
      <xdr:col>3</xdr:col>
      <xdr:colOff>101600</xdr:colOff>
      <xdr:row>52</xdr:row>
      <xdr:rowOff>76200</xdr:rowOff>
    </xdr:to>
    <xdr:sp macro="" textlink="">
      <xdr:nvSpPr>
        <xdr:cNvPr id="5605418" name="Oval 323">
          <a:extLst>
            <a:ext uri="{FF2B5EF4-FFF2-40B4-BE49-F238E27FC236}">
              <a16:creationId xmlns:a16="http://schemas.microsoft.com/office/drawing/2014/main" id="{00000000-0008-0000-0100-00002A885500}"/>
            </a:ext>
          </a:extLst>
        </xdr:cNvPr>
        <xdr:cNvSpPr>
          <a:spLocks noChangeArrowheads="1"/>
        </xdr:cNvSpPr>
      </xdr:nvSpPr>
      <xdr:spPr bwMode="auto">
        <a:xfrm>
          <a:off x="2171700" y="8267700"/>
          <a:ext cx="203200" cy="1778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49</xdr:row>
      <xdr:rowOff>25400</xdr:rowOff>
    </xdr:from>
    <xdr:to>
      <xdr:col>3</xdr:col>
      <xdr:colOff>0</xdr:colOff>
      <xdr:row>51</xdr:row>
      <xdr:rowOff>139700</xdr:rowOff>
    </xdr:to>
    <xdr:sp macro="" textlink="">
      <xdr:nvSpPr>
        <xdr:cNvPr id="5605419" name="Line 324">
          <a:extLst>
            <a:ext uri="{FF2B5EF4-FFF2-40B4-BE49-F238E27FC236}">
              <a16:creationId xmlns:a16="http://schemas.microsoft.com/office/drawing/2014/main" id="{00000000-0008-0000-0100-00002B885500}"/>
            </a:ext>
          </a:extLst>
        </xdr:cNvPr>
        <xdr:cNvSpPr>
          <a:spLocks noChangeShapeType="1"/>
        </xdr:cNvSpPr>
      </xdr:nvSpPr>
      <xdr:spPr bwMode="auto">
        <a:xfrm>
          <a:off x="2273300" y="7899400"/>
          <a:ext cx="0" cy="444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</xdr:row>
      <xdr:rowOff>139700</xdr:rowOff>
    </xdr:from>
    <xdr:to>
      <xdr:col>3</xdr:col>
      <xdr:colOff>0</xdr:colOff>
      <xdr:row>52</xdr:row>
      <xdr:rowOff>88900</xdr:rowOff>
    </xdr:to>
    <xdr:sp macro="" textlink="">
      <xdr:nvSpPr>
        <xdr:cNvPr id="5605420" name="Line 324">
          <a:extLst>
            <a:ext uri="{FF2B5EF4-FFF2-40B4-BE49-F238E27FC236}">
              <a16:creationId xmlns:a16="http://schemas.microsoft.com/office/drawing/2014/main" id="{00000000-0008-0000-0100-00002C885500}"/>
            </a:ext>
          </a:extLst>
        </xdr:cNvPr>
        <xdr:cNvSpPr>
          <a:spLocks noChangeShapeType="1"/>
        </xdr:cNvSpPr>
      </xdr:nvSpPr>
      <xdr:spPr bwMode="auto">
        <a:xfrm flipH="1">
          <a:off x="2273300" y="83439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424424" name="Spinner 1064" hidden="1">
              <a:extLst>
                <a:ext uri="{63B3BB69-23CF-44E3-9099-C40C66FF867C}">
                  <a14:compatExt spid="_x0000_s1424424"/>
                </a:ext>
                <a:ext uri="{FF2B5EF4-FFF2-40B4-BE49-F238E27FC236}">
                  <a16:creationId xmlns:a16="http://schemas.microsoft.com/office/drawing/2014/main" id="{00000000-0008-0000-0100-000028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42</xdr:row>
          <xdr:rowOff>9525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424589" name="Spinner 1229" hidden="1">
              <a:extLst>
                <a:ext uri="{63B3BB69-23CF-44E3-9099-C40C66FF867C}">
                  <a14:compatExt spid="_x0000_s1424589"/>
                </a:ext>
                <a:ext uri="{FF2B5EF4-FFF2-40B4-BE49-F238E27FC236}">
                  <a16:creationId xmlns:a16="http://schemas.microsoft.com/office/drawing/2014/main" id="{00000000-0008-0000-0100-0000CD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44</xdr:row>
          <xdr:rowOff>9525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424590" name="Spinner 1230" hidden="1">
              <a:extLst>
                <a:ext uri="{63B3BB69-23CF-44E3-9099-C40C66FF867C}">
                  <a14:compatExt spid="_x0000_s1424590"/>
                </a:ext>
                <a:ext uri="{FF2B5EF4-FFF2-40B4-BE49-F238E27FC236}">
                  <a16:creationId xmlns:a16="http://schemas.microsoft.com/office/drawing/2014/main" id="{00000000-0008-0000-0100-0000CE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50</xdr:row>
          <xdr:rowOff>9525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424591" name="Spinner 1231" hidden="1">
              <a:extLst>
                <a:ext uri="{63B3BB69-23CF-44E3-9099-C40C66FF867C}">
                  <a14:compatExt spid="_x0000_s1424591"/>
                </a:ext>
                <a:ext uri="{FF2B5EF4-FFF2-40B4-BE49-F238E27FC236}">
                  <a16:creationId xmlns:a16="http://schemas.microsoft.com/office/drawing/2014/main" id="{00000000-0008-0000-0100-0000CF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93</xdr:row>
          <xdr:rowOff>66675</xdr:rowOff>
        </xdr:from>
        <xdr:to>
          <xdr:col>4</xdr:col>
          <xdr:colOff>66675</xdr:colOff>
          <xdr:row>99</xdr:row>
          <xdr:rowOff>76200</xdr:rowOff>
        </xdr:to>
        <xdr:sp macro="" textlink="">
          <xdr:nvSpPr>
            <xdr:cNvPr id="1425294" name="Object 1934" hidden="1">
              <a:extLst>
                <a:ext uri="{63B3BB69-23CF-44E3-9099-C40C66FF867C}">
                  <a14:compatExt spid="_x0000_s1425294"/>
                </a:ext>
                <a:ext uri="{FF2B5EF4-FFF2-40B4-BE49-F238E27FC236}">
                  <a16:creationId xmlns:a16="http://schemas.microsoft.com/office/drawing/2014/main" id="{00000000-0008-0000-0100-00008EBF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52</xdr:row>
          <xdr:rowOff>9525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4779462" name="Spinner 4550" hidden="1">
              <a:extLst>
                <a:ext uri="{63B3BB69-23CF-44E3-9099-C40C66FF867C}">
                  <a14:compatExt spid="_x0000_s4779462"/>
                </a:ext>
                <a:ext uri="{FF2B5EF4-FFF2-40B4-BE49-F238E27FC236}">
                  <a16:creationId xmlns:a16="http://schemas.microsoft.com/office/drawing/2014/main" id="{00000000-0008-0000-0100-0000C6ED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0</xdr:rowOff>
    </xdr:from>
    <xdr:to>
      <xdr:col>10</xdr:col>
      <xdr:colOff>673100</xdr:colOff>
      <xdr:row>19</xdr:row>
      <xdr:rowOff>0</xdr:rowOff>
    </xdr:to>
    <xdr:graphicFrame macro="">
      <xdr:nvGraphicFramePr>
        <xdr:cNvPr id="5105837" name="Graphique 1">
          <a:extLst>
            <a:ext uri="{FF2B5EF4-FFF2-40B4-BE49-F238E27FC236}">
              <a16:creationId xmlns:a16="http://schemas.microsoft.com/office/drawing/2014/main" id="{00000000-0008-0000-0200-0000AD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37</xdr:row>
      <xdr:rowOff>0</xdr:rowOff>
    </xdr:from>
    <xdr:to>
      <xdr:col>10</xdr:col>
      <xdr:colOff>673100</xdr:colOff>
      <xdr:row>55</xdr:row>
      <xdr:rowOff>0</xdr:rowOff>
    </xdr:to>
    <xdr:graphicFrame macro="">
      <xdr:nvGraphicFramePr>
        <xdr:cNvPr id="5105838" name="Graphique 2">
          <a:extLst>
            <a:ext uri="{FF2B5EF4-FFF2-40B4-BE49-F238E27FC236}">
              <a16:creationId xmlns:a16="http://schemas.microsoft.com/office/drawing/2014/main" id="{00000000-0008-0000-0200-0000AE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19</xdr:row>
      <xdr:rowOff>0</xdr:rowOff>
    </xdr:from>
    <xdr:to>
      <xdr:col>10</xdr:col>
      <xdr:colOff>673100</xdr:colOff>
      <xdr:row>37</xdr:row>
      <xdr:rowOff>0</xdr:rowOff>
    </xdr:to>
    <xdr:graphicFrame macro="">
      <xdr:nvGraphicFramePr>
        <xdr:cNvPr id="5105839" name="Graphique 3">
          <a:extLst>
            <a:ext uri="{FF2B5EF4-FFF2-40B4-BE49-F238E27FC236}">
              <a16:creationId xmlns:a16="http://schemas.microsoft.com/office/drawing/2014/main" id="{00000000-0008-0000-0200-0000AF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55</xdr:row>
      <xdr:rowOff>0</xdr:rowOff>
    </xdr:from>
    <xdr:to>
      <xdr:col>10</xdr:col>
      <xdr:colOff>673100</xdr:colOff>
      <xdr:row>73</xdr:row>
      <xdr:rowOff>0</xdr:rowOff>
    </xdr:to>
    <xdr:graphicFrame macro="">
      <xdr:nvGraphicFramePr>
        <xdr:cNvPr id="5105840" name="Graphique 4">
          <a:extLst>
            <a:ext uri="{FF2B5EF4-FFF2-40B4-BE49-F238E27FC236}">
              <a16:creationId xmlns:a16="http://schemas.microsoft.com/office/drawing/2014/main" id="{00000000-0008-0000-0200-0000B0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50800</xdr:rowOff>
    </xdr:from>
    <xdr:to>
      <xdr:col>7</xdr:col>
      <xdr:colOff>228600</xdr:colOff>
      <xdr:row>19</xdr:row>
      <xdr:rowOff>139700</xdr:rowOff>
    </xdr:to>
    <xdr:graphicFrame macro="">
      <xdr:nvGraphicFramePr>
        <xdr:cNvPr id="5110828" name="Graphique 1">
          <a:extLst>
            <a:ext uri="{FF2B5EF4-FFF2-40B4-BE49-F238E27FC236}">
              <a16:creationId xmlns:a16="http://schemas.microsoft.com/office/drawing/2014/main" id="{00000000-0008-0000-0300-00002C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1008</xdr:row>
      <xdr:rowOff>152400</xdr:rowOff>
    </xdr:from>
    <xdr:to>
      <xdr:col>16</xdr:col>
      <xdr:colOff>165100</xdr:colOff>
      <xdr:row>1010</xdr:row>
      <xdr:rowOff>88900</xdr:rowOff>
    </xdr:to>
    <xdr:sp macro="" textlink="">
      <xdr:nvSpPr>
        <xdr:cNvPr id="3411" name="Line 60"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SpPr>
          <a:spLocks noChangeShapeType="1"/>
        </xdr:cNvSpPr>
      </xdr:nvSpPr>
      <xdr:spPr bwMode="auto">
        <a:xfrm flipH="1">
          <a:off x="6273800" y="166585900"/>
          <a:ext cx="119380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1011</xdr:row>
      <xdr:rowOff>101600</xdr:rowOff>
    </xdr:from>
    <xdr:to>
      <xdr:col>17</xdr:col>
      <xdr:colOff>381000</xdr:colOff>
      <xdr:row>1013</xdr:row>
      <xdr:rowOff>139700</xdr:rowOff>
    </xdr:to>
    <xdr:sp macro="" textlink="">
      <xdr:nvSpPr>
        <xdr:cNvPr id="3412" name="Line 71"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SpPr>
          <a:spLocks noChangeShapeType="1"/>
        </xdr:cNvSpPr>
      </xdr:nvSpPr>
      <xdr:spPr bwMode="auto">
        <a:xfrm flipH="1" flipV="1">
          <a:off x="6286500" y="167030400"/>
          <a:ext cx="2057400" cy="36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1012</xdr:row>
      <xdr:rowOff>139700</xdr:rowOff>
    </xdr:from>
    <xdr:to>
      <xdr:col>17</xdr:col>
      <xdr:colOff>381000</xdr:colOff>
      <xdr:row>1015</xdr:row>
      <xdr:rowOff>25400</xdr:rowOff>
    </xdr:to>
    <xdr:sp macro="" textlink="">
      <xdr:nvSpPr>
        <xdr:cNvPr id="3413" name="Line 71"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SpPr>
          <a:spLocks noChangeShapeType="1"/>
        </xdr:cNvSpPr>
      </xdr:nvSpPr>
      <xdr:spPr bwMode="auto">
        <a:xfrm flipH="1" flipV="1">
          <a:off x="6286500" y="167233600"/>
          <a:ext cx="205740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1010</xdr:row>
          <xdr:rowOff>85725</xdr:rowOff>
        </xdr:from>
        <xdr:to>
          <xdr:col>20</xdr:col>
          <xdr:colOff>266700</xdr:colOff>
          <xdr:row>1013</xdr:row>
          <xdr:rowOff>28575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1024</xdr:row>
          <xdr:rowOff>142875</xdr:rowOff>
        </xdr:from>
        <xdr:to>
          <xdr:col>25</xdr:col>
          <xdr:colOff>409575</xdr:colOff>
          <xdr:row>1026</xdr:row>
          <xdr:rowOff>66675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1006</xdr:row>
          <xdr:rowOff>28575</xdr:rowOff>
        </xdr:from>
        <xdr:to>
          <xdr:col>24</xdr:col>
          <xdr:colOff>142875</xdr:colOff>
          <xdr:row>1007</xdr:row>
          <xdr:rowOff>85725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1017</xdr:row>
          <xdr:rowOff>142875</xdr:rowOff>
        </xdr:from>
        <xdr:to>
          <xdr:col>10</xdr:col>
          <xdr:colOff>533400</xdr:colOff>
          <xdr:row>1019</xdr:row>
          <xdr:rowOff>114300</xdr:rowOff>
        </xdr:to>
        <xdr:sp macro="" textlink="">
          <xdr:nvSpPr>
            <xdr:cNvPr id="3112" name="Object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4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1014</xdr:row>
          <xdr:rowOff>152400</xdr:rowOff>
        </xdr:from>
        <xdr:to>
          <xdr:col>11</xdr:col>
          <xdr:colOff>238125</xdr:colOff>
          <xdr:row>1016</xdr:row>
          <xdr:rowOff>66675</xdr:rowOff>
        </xdr:to>
        <xdr:sp macro="" textlink="">
          <xdr:nvSpPr>
            <xdr:cNvPr id="3114" name="Object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4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1016</xdr:row>
          <xdr:rowOff>66675</xdr:rowOff>
        </xdr:from>
        <xdr:to>
          <xdr:col>11</xdr:col>
          <xdr:colOff>219075</xdr:colOff>
          <xdr:row>1017</xdr:row>
          <xdr:rowOff>142875</xdr:rowOff>
        </xdr:to>
        <xdr:sp macro="" textlink="">
          <xdr:nvSpPr>
            <xdr:cNvPr id="3115" name="Object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4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1022</xdr:row>
          <xdr:rowOff>66675</xdr:rowOff>
        </xdr:from>
        <xdr:to>
          <xdr:col>17</xdr:col>
          <xdr:colOff>238125</xdr:colOff>
          <xdr:row>1024</xdr:row>
          <xdr:rowOff>142875</xdr:rowOff>
        </xdr:to>
        <xdr:sp macro="" textlink="">
          <xdr:nvSpPr>
            <xdr:cNvPr id="3119" name="Object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4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1008</xdr:row>
          <xdr:rowOff>0</xdr:rowOff>
        </xdr:from>
        <xdr:to>
          <xdr:col>11</xdr:col>
          <xdr:colOff>219075</xdr:colOff>
          <xdr:row>1010</xdr:row>
          <xdr:rowOff>76200</xdr:rowOff>
        </xdr:to>
        <xdr:sp macro="" textlink="">
          <xdr:nvSpPr>
            <xdr:cNvPr id="3120" name="Object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4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1010</xdr:row>
          <xdr:rowOff>85725</xdr:rowOff>
        </xdr:from>
        <xdr:to>
          <xdr:col>12</xdr:col>
          <xdr:colOff>219075</xdr:colOff>
          <xdr:row>1013</xdr:row>
          <xdr:rowOff>0</xdr:rowOff>
        </xdr:to>
        <xdr:sp macro="" textlink="">
          <xdr:nvSpPr>
            <xdr:cNvPr id="3121" name="Object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4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1006</xdr:row>
          <xdr:rowOff>85725</xdr:rowOff>
        </xdr:from>
        <xdr:to>
          <xdr:col>3</xdr:col>
          <xdr:colOff>495300</xdr:colOff>
          <xdr:row>1007</xdr:row>
          <xdr:rowOff>152400</xdr:rowOff>
        </xdr:to>
        <xdr:sp macro="" textlink="">
          <xdr:nvSpPr>
            <xdr:cNvPr id="3122" name="Object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4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1024</xdr:row>
          <xdr:rowOff>152400</xdr:rowOff>
        </xdr:from>
        <xdr:to>
          <xdr:col>16</xdr:col>
          <xdr:colOff>0</xdr:colOff>
          <xdr:row>1026</xdr:row>
          <xdr:rowOff>123825</xdr:rowOff>
        </xdr:to>
        <xdr:sp macro="" textlink="">
          <xdr:nvSpPr>
            <xdr:cNvPr id="3124" name="Object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4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1013</xdr:row>
          <xdr:rowOff>28575</xdr:rowOff>
        </xdr:from>
        <xdr:to>
          <xdr:col>21</xdr:col>
          <xdr:colOff>28575</xdr:colOff>
          <xdr:row>1014</xdr:row>
          <xdr:rowOff>104775</xdr:rowOff>
        </xdr:to>
        <xdr:sp macro="" textlink="">
          <xdr:nvSpPr>
            <xdr:cNvPr id="3125" name="Object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4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1005</xdr:row>
          <xdr:rowOff>9525</xdr:rowOff>
        </xdr:from>
        <xdr:to>
          <xdr:col>10</xdr:col>
          <xdr:colOff>371475</xdr:colOff>
          <xdr:row>1006</xdr:row>
          <xdr:rowOff>76200</xdr:rowOff>
        </xdr:to>
        <xdr:sp macro="" textlink="">
          <xdr:nvSpPr>
            <xdr:cNvPr id="3127" name="Object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4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1013</xdr:row>
          <xdr:rowOff>9525</xdr:rowOff>
        </xdr:from>
        <xdr:to>
          <xdr:col>8</xdr:col>
          <xdr:colOff>180975</xdr:colOff>
          <xdr:row>1014</xdr:row>
          <xdr:rowOff>142875</xdr:rowOff>
        </xdr:to>
        <xdr:sp macro="" textlink="">
          <xdr:nvSpPr>
            <xdr:cNvPr id="3129" name="Object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4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1018</xdr:row>
          <xdr:rowOff>47625</xdr:rowOff>
        </xdr:from>
        <xdr:to>
          <xdr:col>24</xdr:col>
          <xdr:colOff>981075</xdr:colOff>
          <xdr:row>1019</xdr:row>
          <xdr:rowOff>114300</xdr:rowOff>
        </xdr:to>
        <xdr:sp macro="" textlink="">
          <xdr:nvSpPr>
            <xdr:cNvPr id="3131" name="Object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4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1019</xdr:row>
          <xdr:rowOff>123825</xdr:rowOff>
        </xdr:from>
        <xdr:to>
          <xdr:col>20</xdr:col>
          <xdr:colOff>523875</xdr:colOff>
          <xdr:row>1022</xdr:row>
          <xdr:rowOff>47625</xdr:rowOff>
        </xdr:to>
        <xdr:sp macro="" textlink="">
          <xdr:nvSpPr>
            <xdr:cNvPr id="3134" name="Object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4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1018</xdr:row>
          <xdr:rowOff>47625</xdr:rowOff>
        </xdr:from>
        <xdr:to>
          <xdr:col>19</xdr:col>
          <xdr:colOff>161925</xdr:colOff>
          <xdr:row>1019</xdr:row>
          <xdr:rowOff>114300</xdr:rowOff>
        </xdr:to>
        <xdr:sp macro="" textlink="">
          <xdr:nvSpPr>
            <xdr:cNvPr id="3135" name="Object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4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1007</xdr:row>
          <xdr:rowOff>104775</xdr:rowOff>
        </xdr:from>
        <xdr:to>
          <xdr:col>37</xdr:col>
          <xdr:colOff>257175</xdr:colOff>
          <xdr:row>1010</xdr:row>
          <xdr:rowOff>66675</xdr:rowOff>
        </xdr:to>
        <xdr:sp macro="" textlink="">
          <xdr:nvSpPr>
            <xdr:cNvPr id="3141" name="Object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4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1010</xdr:row>
          <xdr:rowOff>76200</xdr:rowOff>
        </xdr:from>
        <xdr:to>
          <xdr:col>35</xdr:col>
          <xdr:colOff>657225</xdr:colOff>
          <xdr:row>1013</xdr:row>
          <xdr:rowOff>38100</xdr:rowOff>
        </xdr:to>
        <xdr:sp macro="" textlink="">
          <xdr:nvSpPr>
            <xdr:cNvPr id="3142" name="Object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4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1035</xdr:row>
          <xdr:rowOff>28575</xdr:rowOff>
        </xdr:from>
        <xdr:to>
          <xdr:col>11</xdr:col>
          <xdr:colOff>504825</xdr:colOff>
          <xdr:row>1038</xdr:row>
          <xdr:rowOff>28575</xdr:rowOff>
        </xdr:to>
        <xdr:sp macro="" textlink="">
          <xdr:nvSpPr>
            <xdr:cNvPr id="3157" name="Object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4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1040</xdr:row>
          <xdr:rowOff>28575</xdr:rowOff>
        </xdr:from>
        <xdr:to>
          <xdr:col>12</xdr:col>
          <xdr:colOff>28575</xdr:colOff>
          <xdr:row>1043</xdr:row>
          <xdr:rowOff>28575</xdr:rowOff>
        </xdr:to>
        <xdr:sp macro="" textlink="">
          <xdr:nvSpPr>
            <xdr:cNvPr id="3158" name="Object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4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1014</xdr:row>
          <xdr:rowOff>104775</xdr:rowOff>
        </xdr:from>
        <xdr:to>
          <xdr:col>20</xdr:col>
          <xdr:colOff>304800</xdr:colOff>
          <xdr:row>1016</xdr:row>
          <xdr:rowOff>9525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1007</xdr:row>
          <xdr:rowOff>104775</xdr:rowOff>
        </xdr:from>
        <xdr:to>
          <xdr:col>32</xdr:col>
          <xdr:colOff>152400</xdr:colOff>
          <xdr:row>1010</xdr:row>
          <xdr:rowOff>76200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1055</xdr:row>
          <xdr:rowOff>28575</xdr:rowOff>
        </xdr:from>
        <xdr:to>
          <xdr:col>12</xdr:col>
          <xdr:colOff>304800</xdr:colOff>
          <xdr:row>1058</xdr:row>
          <xdr:rowOff>47625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1060</xdr:row>
          <xdr:rowOff>28575</xdr:rowOff>
        </xdr:from>
        <xdr:to>
          <xdr:col>15</xdr:col>
          <xdr:colOff>47625</xdr:colOff>
          <xdr:row>1063</xdr:row>
          <xdr:rowOff>47625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1065</xdr:row>
          <xdr:rowOff>28575</xdr:rowOff>
        </xdr:from>
        <xdr:to>
          <xdr:col>16</xdr:col>
          <xdr:colOff>609600</xdr:colOff>
          <xdr:row>1068</xdr:row>
          <xdr:rowOff>47625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1045</xdr:row>
          <xdr:rowOff>28575</xdr:rowOff>
        </xdr:from>
        <xdr:to>
          <xdr:col>16</xdr:col>
          <xdr:colOff>104775</xdr:colOff>
          <xdr:row>1048</xdr:row>
          <xdr:rowOff>28575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1050</xdr:row>
          <xdr:rowOff>28575</xdr:rowOff>
        </xdr:from>
        <xdr:to>
          <xdr:col>16</xdr:col>
          <xdr:colOff>352425</xdr:colOff>
          <xdr:row>1053</xdr:row>
          <xdr:rowOff>47625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1070</xdr:row>
          <xdr:rowOff>28575</xdr:rowOff>
        </xdr:from>
        <xdr:to>
          <xdr:col>12</xdr:col>
          <xdr:colOff>371475</xdr:colOff>
          <xdr:row>1073</xdr:row>
          <xdr:rowOff>47625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1053</xdr:row>
          <xdr:rowOff>28575</xdr:rowOff>
        </xdr:from>
        <xdr:to>
          <xdr:col>32</xdr:col>
          <xdr:colOff>381000</xdr:colOff>
          <xdr:row>1056</xdr:row>
          <xdr:rowOff>28575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1022</xdr:row>
          <xdr:rowOff>47625</xdr:rowOff>
        </xdr:from>
        <xdr:to>
          <xdr:col>32</xdr:col>
          <xdr:colOff>238125</xdr:colOff>
          <xdr:row>1024</xdr:row>
          <xdr:rowOff>114300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1017</xdr:row>
          <xdr:rowOff>28575</xdr:rowOff>
        </xdr:from>
        <xdr:to>
          <xdr:col>36</xdr:col>
          <xdr:colOff>152400</xdr:colOff>
          <xdr:row>1020</xdr:row>
          <xdr:rowOff>28575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1014</xdr:row>
          <xdr:rowOff>0</xdr:rowOff>
        </xdr:from>
        <xdr:to>
          <xdr:col>36</xdr:col>
          <xdr:colOff>638175</xdr:colOff>
          <xdr:row>1017</xdr:row>
          <xdr:rowOff>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1020</xdr:row>
          <xdr:rowOff>38100</xdr:rowOff>
        </xdr:from>
        <xdr:to>
          <xdr:col>35</xdr:col>
          <xdr:colOff>123825</xdr:colOff>
          <xdr:row>1023</xdr:row>
          <xdr:rowOff>38100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1023</xdr:row>
          <xdr:rowOff>66675</xdr:rowOff>
        </xdr:from>
        <xdr:to>
          <xdr:col>36</xdr:col>
          <xdr:colOff>47625</xdr:colOff>
          <xdr:row>1026</xdr:row>
          <xdr:rowOff>66675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4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1048</xdr:row>
          <xdr:rowOff>28575</xdr:rowOff>
        </xdr:from>
        <xdr:to>
          <xdr:col>34</xdr:col>
          <xdr:colOff>314325</xdr:colOff>
          <xdr:row>1051</xdr:row>
          <xdr:rowOff>76200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4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152400</xdr:rowOff>
    </xdr:to>
    <xdr:pic>
      <xdr:nvPicPr>
        <xdr:cNvPr id="2604376" name="Picture 8" descr="logoplasci">
          <a:extLst>
            <a:ext uri="{FF2B5EF4-FFF2-40B4-BE49-F238E27FC236}">
              <a16:creationId xmlns:a16="http://schemas.microsoft.com/office/drawing/2014/main" id="{00000000-0008-0000-0500-000058BD2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482600</xdr:colOff>
      <xdr:row>0</xdr:row>
      <xdr:rowOff>114300</xdr:rowOff>
    </xdr:from>
    <xdr:to>
      <xdr:col>12</xdr:col>
      <xdr:colOff>482600</xdr:colOff>
      <xdr:row>17</xdr:row>
      <xdr:rowOff>25400</xdr:rowOff>
    </xdr:to>
    <xdr:graphicFrame macro="">
      <xdr:nvGraphicFramePr>
        <xdr:cNvPr id="2604377" name="Graphique 2">
          <a:extLst>
            <a:ext uri="{FF2B5EF4-FFF2-40B4-BE49-F238E27FC236}">
              <a16:creationId xmlns:a16="http://schemas.microsoft.com/office/drawing/2014/main" id="{00000000-0008-0000-0500-000059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17</xdr:row>
      <xdr:rowOff>25400</xdr:rowOff>
    </xdr:from>
    <xdr:to>
      <xdr:col>12</xdr:col>
      <xdr:colOff>482600</xdr:colOff>
      <xdr:row>34</xdr:row>
      <xdr:rowOff>25400</xdr:rowOff>
    </xdr:to>
    <xdr:graphicFrame macro="">
      <xdr:nvGraphicFramePr>
        <xdr:cNvPr id="2604378" name="Graphique 2">
          <a:extLst>
            <a:ext uri="{FF2B5EF4-FFF2-40B4-BE49-F238E27FC236}">
              <a16:creationId xmlns:a16="http://schemas.microsoft.com/office/drawing/2014/main" id="{00000000-0008-0000-0500-00005A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17</xdr:row>
      <xdr:rowOff>25400</xdr:rowOff>
    </xdr:from>
    <xdr:to>
      <xdr:col>6</xdr:col>
      <xdr:colOff>482600</xdr:colOff>
      <xdr:row>34</xdr:row>
      <xdr:rowOff>25400</xdr:rowOff>
    </xdr:to>
    <xdr:graphicFrame macro="">
      <xdr:nvGraphicFramePr>
        <xdr:cNvPr id="2604379" name="Graphique 2">
          <a:extLst>
            <a:ext uri="{FF2B5EF4-FFF2-40B4-BE49-F238E27FC236}">
              <a16:creationId xmlns:a16="http://schemas.microsoft.com/office/drawing/2014/main" id="{00000000-0008-0000-0500-00005B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604063" name="Spinner 31" hidden="1">
              <a:extLst>
                <a:ext uri="{63B3BB69-23CF-44E3-9099-C40C66FF867C}">
                  <a14:compatExt spid="_x0000_s2604063"/>
                </a:ext>
                <a:ext uri="{FF2B5EF4-FFF2-40B4-BE49-F238E27FC236}">
                  <a16:creationId xmlns:a16="http://schemas.microsoft.com/office/drawing/2014/main" id="{00000000-0008-0000-0500-00001F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68</xdr:row>
          <xdr:rowOff>28575</xdr:rowOff>
        </xdr:from>
        <xdr:to>
          <xdr:col>12</xdr:col>
          <xdr:colOff>809625</xdr:colOff>
          <xdr:row>85</xdr:row>
          <xdr:rowOff>9525</xdr:rowOff>
        </xdr:to>
        <xdr:sp macro="" textlink="">
          <xdr:nvSpPr>
            <xdr:cNvPr id="2604101" name="Object 69" hidden="1">
              <a:extLst>
                <a:ext uri="{63B3BB69-23CF-44E3-9099-C40C66FF867C}">
                  <a14:compatExt spid="_x0000_s2604101"/>
                </a:ext>
                <a:ext uri="{FF2B5EF4-FFF2-40B4-BE49-F238E27FC236}">
                  <a16:creationId xmlns:a16="http://schemas.microsoft.com/office/drawing/2014/main" id="{00000000-0008-0000-0500-000045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10</xdr:row>
          <xdr:rowOff>9525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604202" name="Spinner 170" hidden="1">
              <a:extLst>
                <a:ext uri="{63B3BB69-23CF-44E3-9099-C40C66FF867C}">
                  <a14:compatExt spid="_x0000_s2604202"/>
                </a:ext>
                <a:ext uri="{FF2B5EF4-FFF2-40B4-BE49-F238E27FC236}">
                  <a16:creationId xmlns:a16="http://schemas.microsoft.com/office/drawing/2014/main" id="{00000000-0008-0000-0500-0000AA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33</xdr:row>
      <xdr:rowOff>25400</xdr:rowOff>
    </xdr:from>
    <xdr:to>
      <xdr:col>2</xdr:col>
      <xdr:colOff>12700</xdr:colOff>
      <xdr:row>44</xdr:row>
      <xdr:rowOff>25400</xdr:rowOff>
    </xdr:to>
    <xdr:pic>
      <xdr:nvPicPr>
        <xdr:cNvPr id="5956" name="Image 1">
          <a:extLst>
            <a:ext uri="{FF2B5EF4-FFF2-40B4-BE49-F238E27FC236}">
              <a16:creationId xmlns:a16="http://schemas.microsoft.com/office/drawing/2014/main" id="{00000000-0008-0000-0600-00004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473700"/>
          <a:ext cx="13462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1231900</xdr:colOff>
      <xdr:row>52</xdr:row>
      <xdr:rowOff>50800</xdr:rowOff>
    </xdr:from>
    <xdr:to>
      <xdr:col>10</xdr:col>
      <xdr:colOff>660400</xdr:colOff>
      <xdr:row>80</xdr:row>
      <xdr:rowOff>25400</xdr:rowOff>
    </xdr:to>
    <xdr:pic>
      <xdr:nvPicPr>
        <xdr:cNvPr id="5957" name="Image 2">
          <a:extLst>
            <a:ext uri="{FF2B5EF4-FFF2-40B4-BE49-F238E27FC236}">
              <a16:creationId xmlns:a16="http://schemas.microsoft.com/office/drawing/2014/main" id="{00000000-0008-0000-0600-00004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8636000"/>
          <a:ext cx="7708900" cy="459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152400</xdr:rowOff>
    </xdr:to>
    <xdr:pic>
      <xdr:nvPicPr>
        <xdr:cNvPr id="5958" name="Picture 8" descr="logoplasci">
          <a:extLst>
            <a:ext uri="{FF2B5EF4-FFF2-40B4-BE49-F238E27FC236}">
              <a16:creationId xmlns:a16="http://schemas.microsoft.com/office/drawing/2014/main" id="{00000000-0008-0000-0600-00004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80</xdr:row>
      <xdr:rowOff>12700</xdr:rowOff>
    </xdr:from>
    <xdr:to>
      <xdr:col>8</xdr:col>
      <xdr:colOff>0</xdr:colOff>
      <xdr:row>102</xdr:row>
      <xdr:rowOff>101600</xdr:rowOff>
    </xdr:to>
    <xdr:grpSp>
      <xdr:nvGrpSpPr>
        <xdr:cNvPr id="5600684" name="Group 232">
          <a:extLst>
            <a:ext uri="{FF2B5EF4-FFF2-40B4-BE49-F238E27FC236}">
              <a16:creationId xmlns:a16="http://schemas.microsoft.com/office/drawing/2014/main" id="{00000000-0008-0000-0700-0000AC755500}"/>
            </a:ext>
          </a:extLst>
        </xdr:cNvPr>
        <xdr:cNvGrpSpPr>
          <a:grpSpLocks/>
        </xdr:cNvGrpSpPr>
      </xdr:nvGrpSpPr>
      <xdr:grpSpPr bwMode="auto">
        <a:xfrm>
          <a:off x="4143375" y="13214350"/>
          <a:ext cx="2133600" cy="3746500"/>
          <a:chOff x="3421" y="5379"/>
          <a:chExt cx="2289" cy="5759"/>
        </a:xfrm>
      </xdr:grpSpPr>
      <xdr:grpSp>
        <xdr:nvGrpSpPr>
          <xdr:cNvPr id="5600788" name="Group 233">
            <a:extLst>
              <a:ext uri="{FF2B5EF4-FFF2-40B4-BE49-F238E27FC236}">
                <a16:creationId xmlns:a16="http://schemas.microsoft.com/office/drawing/2014/main" id="{00000000-0008-0000-0700-0000147655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600806" name="Arc 234">
              <a:extLst>
                <a:ext uri="{FF2B5EF4-FFF2-40B4-BE49-F238E27FC236}">
                  <a16:creationId xmlns:a16="http://schemas.microsoft.com/office/drawing/2014/main" id="{00000000-0008-0000-0700-000026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807" name="Group 235">
              <a:extLst>
                <a:ext uri="{FF2B5EF4-FFF2-40B4-BE49-F238E27FC236}">
                  <a16:creationId xmlns:a16="http://schemas.microsoft.com/office/drawing/2014/main" id="{00000000-0008-0000-0700-000027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808" name="Line 236">
                <a:extLst>
                  <a:ext uri="{FF2B5EF4-FFF2-40B4-BE49-F238E27FC236}">
                    <a16:creationId xmlns:a16="http://schemas.microsoft.com/office/drawing/2014/main" id="{00000000-0008-0000-0700-000028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9" name="Line 237">
                <a:extLst>
                  <a:ext uri="{FF2B5EF4-FFF2-40B4-BE49-F238E27FC236}">
                    <a16:creationId xmlns:a16="http://schemas.microsoft.com/office/drawing/2014/main" id="{00000000-0008-0000-0700-000029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0" name="Line 238">
                <a:extLst>
                  <a:ext uri="{FF2B5EF4-FFF2-40B4-BE49-F238E27FC236}">
                    <a16:creationId xmlns:a16="http://schemas.microsoft.com/office/drawing/2014/main" id="{00000000-0008-0000-0700-00002A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1" name="Line 239">
                <a:extLst>
                  <a:ext uri="{FF2B5EF4-FFF2-40B4-BE49-F238E27FC236}">
                    <a16:creationId xmlns:a16="http://schemas.microsoft.com/office/drawing/2014/main" id="{00000000-0008-0000-0700-00002B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2" name="Line 240">
                <a:extLst>
                  <a:ext uri="{FF2B5EF4-FFF2-40B4-BE49-F238E27FC236}">
                    <a16:creationId xmlns:a16="http://schemas.microsoft.com/office/drawing/2014/main" id="{00000000-0008-0000-0700-00002C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grpSp>
        <xdr:nvGrpSpPr>
          <xdr:cNvPr id="5600789" name="Group 241">
            <a:extLst>
              <a:ext uri="{FF2B5EF4-FFF2-40B4-BE49-F238E27FC236}">
                <a16:creationId xmlns:a16="http://schemas.microsoft.com/office/drawing/2014/main" id="{00000000-0008-0000-0700-0000157655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600799" name="Arc 242">
              <a:extLst>
                <a:ext uri="{FF2B5EF4-FFF2-40B4-BE49-F238E27FC236}">
                  <a16:creationId xmlns:a16="http://schemas.microsoft.com/office/drawing/2014/main" id="{00000000-0008-0000-0700-00001F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800" name="Group 243">
              <a:extLst>
                <a:ext uri="{FF2B5EF4-FFF2-40B4-BE49-F238E27FC236}">
                  <a16:creationId xmlns:a16="http://schemas.microsoft.com/office/drawing/2014/main" id="{00000000-0008-0000-0700-000020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801" name="Line 244">
                <a:extLst>
                  <a:ext uri="{FF2B5EF4-FFF2-40B4-BE49-F238E27FC236}">
                    <a16:creationId xmlns:a16="http://schemas.microsoft.com/office/drawing/2014/main" id="{00000000-0008-0000-0700-000021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2" name="Line 245">
                <a:extLst>
                  <a:ext uri="{FF2B5EF4-FFF2-40B4-BE49-F238E27FC236}">
                    <a16:creationId xmlns:a16="http://schemas.microsoft.com/office/drawing/2014/main" id="{00000000-0008-0000-0700-000022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3" name="Line 246">
                <a:extLst>
                  <a:ext uri="{FF2B5EF4-FFF2-40B4-BE49-F238E27FC236}">
                    <a16:creationId xmlns:a16="http://schemas.microsoft.com/office/drawing/2014/main" id="{00000000-0008-0000-0700-000023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4" name="Line 247">
                <a:extLst>
                  <a:ext uri="{FF2B5EF4-FFF2-40B4-BE49-F238E27FC236}">
                    <a16:creationId xmlns:a16="http://schemas.microsoft.com/office/drawing/2014/main" id="{00000000-0008-0000-0700-000024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5" name="Line 248">
                <a:extLst>
                  <a:ext uri="{FF2B5EF4-FFF2-40B4-BE49-F238E27FC236}">
                    <a16:creationId xmlns:a16="http://schemas.microsoft.com/office/drawing/2014/main" id="{00000000-0008-0000-0700-000025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600790" name="Line 249">
            <a:extLst>
              <a:ext uri="{FF2B5EF4-FFF2-40B4-BE49-F238E27FC236}">
                <a16:creationId xmlns:a16="http://schemas.microsoft.com/office/drawing/2014/main" id="{00000000-0008-0000-0700-0000167655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1" name="Line 250">
            <a:extLst>
              <a:ext uri="{FF2B5EF4-FFF2-40B4-BE49-F238E27FC236}">
                <a16:creationId xmlns:a16="http://schemas.microsoft.com/office/drawing/2014/main" id="{00000000-0008-0000-0700-0000177655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2" name="Line 251">
            <a:extLst>
              <a:ext uri="{FF2B5EF4-FFF2-40B4-BE49-F238E27FC236}">
                <a16:creationId xmlns:a16="http://schemas.microsoft.com/office/drawing/2014/main" id="{00000000-0008-0000-0700-0000187655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3" name="Line 252">
            <a:extLst>
              <a:ext uri="{FF2B5EF4-FFF2-40B4-BE49-F238E27FC236}">
                <a16:creationId xmlns:a16="http://schemas.microsoft.com/office/drawing/2014/main" id="{00000000-0008-0000-0700-000019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4" name="Line 253">
            <a:extLst>
              <a:ext uri="{FF2B5EF4-FFF2-40B4-BE49-F238E27FC236}">
                <a16:creationId xmlns:a16="http://schemas.microsoft.com/office/drawing/2014/main" id="{00000000-0008-0000-0700-00001A7655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5" name="Line 254">
            <a:extLst>
              <a:ext uri="{FF2B5EF4-FFF2-40B4-BE49-F238E27FC236}">
                <a16:creationId xmlns:a16="http://schemas.microsoft.com/office/drawing/2014/main" id="{00000000-0008-0000-0700-00001B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6" name="Line 255">
            <a:extLst>
              <a:ext uri="{FF2B5EF4-FFF2-40B4-BE49-F238E27FC236}">
                <a16:creationId xmlns:a16="http://schemas.microsoft.com/office/drawing/2014/main" id="{00000000-0008-0000-0700-00001C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7" name="Line 256">
            <a:extLst>
              <a:ext uri="{FF2B5EF4-FFF2-40B4-BE49-F238E27FC236}">
                <a16:creationId xmlns:a16="http://schemas.microsoft.com/office/drawing/2014/main" id="{00000000-0008-0000-0700-00001D76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8" name="Line 257">
            <a:extLst>
              <a:ext uri="{FF2B5EF4-FFF2-40B4-BE49-F238E27FC236}">
                <a16:creationId xmlns:a16="http://schemas.microsoft.com/office/drawing/2014/main" id="{00000000-0008-0000-0700-00001E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901700</xdr:colOff>
      <xdr:row>84</xdr:row>
      <xdr:rowOff>101600</xdr:rowOff>
    </xdr:from>
    <xdr:to>
      <xdr:col>6</xdr:col>
      <xdr:colOff>1689100</xdr:colOff>
      <xdr:row>84</xdr:row>
      <xdr:rowOff>101600</xdr:rowOff>
    </xdr:to>
    <xdr:sp macro="" textlink="">
      <xdr:nvSpPr>
        <xdr:cNvPr id="5600685" name="Line 268">
          <a:extLst>
            <a:ext uri="{FF2B5EF4-FFF2-40B4-BE49-F238E27FC236}">
              <a16:creationId xmlns:a16="http://schemas.microsoft.com/office/drawing/2014/main" id="{00000000-0008-0000-0700-0000AD755500}"/>
            </a:ext>
          </a:extLst>
        </xdr:cNvPr>
        <xdr:cNvSpPr>
          <a:spLocks noChangeShapeType="1"/>
        </xdr:cNvSpPr>
      </xdr:nvSpPr>
      <xdr:spPr bwMode="auto">
        <a:xfrm flipV="1">
          <a:off x="5575300" y="14249400"/>
          <a:ext cx="787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80</xdr:row>
      <xdr:rowOff>0</xdr:rowOff>
    </xdr:from>
    <xdr:to>
      <xdr:col>8</xdr:col>
      <xdr:colOff>711200</xdr:colOff>
      <xdr:row>80</xdr:row>
      <xdr:rowOff>0</xdr:rowOff>
    </xdr:to>
    <xdr:sp macro="" textlink="">
      <xdr:nvSpPr>
        <xdr:cNvPr id="5600686" name="Line 269">
          <a:extLst>
            <a:ext uri="{FF2B5EF4-FFF2-40B4-BE49-F238E27FC236}">
              <a16:creationId xmlns:a16="http://schemas.microsoft.com/office/drawing/2014/main" id="{00000000-0008-0000-0700-0000AE755500}"/>
            </a:ext>
          </a:extLst>
        </xdr:cNvPr>
        <xdr:cNvSpPr>
          <a:spLocks noChangeShapeType="1"/>
        </xdr:cNvSpPr>
      </xdr:nvSpPr>
      <xdr:spPr bwMode="auto">
        <a:xfrm flipV="1">
          <a:off x="4838700" y="13449300"/>
          <a:ext cx="2882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241300</xdr:colOff>
      <xdr:row>80</xdr:row>
      <xdr:rowOff>12700</xdr:rowOff>
    </xdr:from>
    <xdr:to>
      <xdr:col>8</xdr:col>
      <xdr:colOff>241300</xdr:colOff>
      <xdr:row>93</xdr:row>
      <xdr:rowOff>88900</xdr:rowOff>
    </xdr:to>
    <xdr:sp macro="" textlink="">
      <xdr:nvSpPr>
        <xdr:cNvPr id="5600687" name="Line 270">
          <a:extLst>
            <a:ext uri="{FF2B5EF4-FFF2-40B4-BE49-F238E27FC236}">
              <a16:creationId xmlns:a16="http://schemas.microsoft.com/office/drawing/2014/main" id="{00000000-0008-0000-0700-0000AF755500}"/>
            </a:ext>
          </a:extLst>
        </xdr:cNvPr>
        <xdr:cNvSpPr>
          <a:spLocks noChangeShapeType="1"/>
        </xdr:cNvSpPr>
      </xdr:nvSpPr>
      <xdr:spPr bwMode="auto">
        <a:xfrm>
          <a:off x="7454900" y="13462000"/>
          <a:ext cx="0" cy="2298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83</xdr:row>
      <xdr:rowOff>50800</xdr:rowOff>
    </xdr:from>
    <xdr:to>
      <xdr:col>6</xdr:col>
      <xdr:colOff>914400</xdr:colOff>
      <xdr:row>83</xdr:row>
      <xdr:rowOff>50800</xdr:rowOff>
    </xdr:to>
    <xdr:sp macro="" textlink="">
      <xdr:nvSpPr>
        <xdr:cNvPr id="5600688" name="Line 271">
          <a:extLst>
            <a:ext uri="{FF2B5EF4-FFF2-40B4-BE49-F238E27FC236}">
              <a16:creationId xmlns:a16="http://schemas.microsoft.com/office/drawing/2014/main" id="{00000000-0008-0000-0700-0000B0755500}"/>
            </a:ext>
          </a:extLst>
        </xdr:cNvPr>
        <xdr:cNvSpPr>
          <a:spLocks noChangeShapeType="1"/>
        </xdr:cNvSpPr>
      </xdr:nvSpPr>
      <xdr:spPr bwMode="auto">
        <a:xfrm>
          <a:off x="4826000" y="14020800"/>
          <a:ext cx="76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80</xdr:row>
      <xdr:rowOff>0</xdr:rowOff>
    </xdr:from>
    <xdr:to>
      <xdr:col>6</xdr:col>
      <xdr:colOff>165100</xdr:colOff>
      <xdr:row>83</xdr:row>
      <xdr:rowOff>50800</xdr:rowOff>
    </xdr:to>
    <xdr:sp macro="" textlink="">
      <xdr:nvSpPr>
        <xdr:cNvPr id="5600689" name="Line 272">
          <a:extLst>
            <a:ext uri="{FF2B5EF4-FFF2-40B4-BE49-F238E27FC236}">
              <a16:creationId xmlns:a16="http://schemas.microsoft.com/office/drawing/2014/main" id="{00000000-0008-0000-0700-0000B1755500}"/>
            </a:ext>
          </a:extLst>
        </xdr:cNvPr>
        <xdr:cNvSpPr>
          <a:spLocks noChangeShapeType="1"/>
        </xdr:cNvSpPr>
      </xdr:nvSpPr>
      <xdr:spPr bwMode="auto">
        <a:xfrm>
          <a:off x="4838700" y="13449300"/>
          <a:ext cx="0" cy="5715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850900</xdr:colOff>
      <xdr:row>102</xdr:row>
      <xdr:rowOff>101600</xdr:rowOff>
    </xdr:from>
    <xdr:to>
      <xdr:col>8</xdr:col>
      <xdr:colOff>596900</xdr:colOff>
      <xdr:row>102</xdr:row>
      <xdr:rowOff>101600</xdr:rowOff>
    </xdr:to>
    <xdr:sp macro="" textlink="">
      <xdr:nvSpPr>
        <xdr:cNvPr id="5600690" name="Line 277">
          <a:extLst>
            <a:ext uri="{FF2B5EF4-FFF2-40B4-BE49-F238E27FC236}">
              <a16:creationId xmlns:a16="http://schemas.microsoft.com/office/drawing/2014/main" id="{00000000-0008-0000-0700-0000B2755500}"/>
            </a:ext>
          </a:extLst>
        </xdr:cNvPr>
        <xdr:cNvSpPr>
          <a:spLocks noChangeShapeType="1"/>
        </xdr:cNvSpPr>
      </xdr:nvSpPr>
      <xdr:spPr bwMode="auto">
        <a:xfrm>
          <a:off x="7213600" y="17310100"/>
          <a:ext cx="508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98</xdr:row>
      <xdr:rowOff>139700</xdr:rowOff>
    </xdr:from>
    <xdr:to>
      <xdr:col>8</xdr:col>
      <xdr:colOff>508000</xdr:colOff>
      <xdr:row>98</xdr:row>
      <xdr:rowOff>139700</xdr:rowOff>
    </xdr:to>
    <xdr:sp macro="" textlink="">
      <xdr:nvSpPr>
        <xdr:cNvPr id="5600691" name="Line 278">
          <a:extLst>
            <a:ext uri="{FF2B5EF4-FFF2-40B4-BE49-F238E27FC236}">
              <a16:creationId xmlns:a16="http://schemas.microsoft.com/office/drawing/2014/main" id="{00000000-0008-0000-0700-0000B3755500}"/>
            </a:ext>
          </a:extLst>
        </xdr:cNvPr>
        <xdr:cNvSpPr>
          <a:spLocks noChangeShapeType="1"/>
        </xdr:cNvSpPr>
      </xdr:nvSpPr>
      <xdr:spPr bwMode="auto">
        <a:xfrm>
          <a:off x="7226300" y="16662400"/>
          <a:ext cx="495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93</xdr:row>
      <xdr:rowOff>76200</xdr:rowOff>
    </xdr:from>
    <xdr:to>
      <xdr:col>8</xdr:col>
      <xdr:colOff>596900</xdr:colOff>
      <xdr:row>93</xdr:row>
      <xdr:rowOff>76200</xdr:rowOff>
    </xdr:to>
    <xdr:sp macro="" textlink="">
      <xdr:nvSpPr>
        <xdr:cNvPr id="5600692" name="Line 279">
          <a:extLst>
            <a:ext uri="{FF2B5EF4-FFF2-40B4-BE49-F238E27FC236}">
              <a16:creationId xmlns:a16="http://schemas.microsoft.com/office/drawing/2014/main" id="{00000000-0008-0000-0700-0000B4755500}"/>
            </a:ext>
          </a:extLst>
        </xdr:cNvPr>
        <xdr:cNvSpPr>
          <a:spLocks noChangeShapeType="1"/>
        </xdr:cNvSpPr>
      </xdr:nvSpPr>
      <xdr:spPr bwMode="auto">
        <a:xfrm flipV="1">
          <a:off x="5194300" y="15748000"/>
          <a:ext cx="2527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99</xdr:row>
      <xdr:rowOff>152400</xdr:rowOff>
    </xdr:from>
    <xdr:to>
      <xdr:col>6</xdr:col>
      <xdr:colOff>1562100</xdr:colOff>
      <xdr:row>99</xdr:row>
      <xdr:rowOff>152400</xdr:rowOff>
    </xdr:to>
    <xdr:sp macro="" textlink="">
      <xdr:nvSpPr>
        <xdr:cNvPr id="5600693" name="Line 280">
          <a:extLst>
            <a:ext uri="{FF2B5EF4-FFF2-40B4-BE49-F238E27FC236}">
              <a16:creationId xmlns:a16="http://schemas.microsoft.com/office/drawing/2014/main" id="{00000000-0008-0000-0700-0000B5755500}"/>
            </a:ext>
          </a:extLst>
        </xdr:cNvPr>
        <xdr:cNvSpPr>
          <a:spLocks noChangeShapeType="1"/>
        </xdr:cNvSpPr>
      </xdr:nvSpPr>
      <xdr:spPr bwMode="auto">
        <a:xfrm flipV="1">
          <a:off x="5194300" y="16840200"/>
          <a:ext cx="1041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93</xdr:row>
      <xdr:rowOff>76200</xdr:rowOff>
    </xdr:from>
    <xdr:to>
      <xdr:col>6</xdr:col>
      <xdr:colOff>520700</xdr:colOff>
      <xdr:row>100</xdr:row>
      <xdr:rowOff>0</xdr:rowOff>
    </xdr:to>
    <xdr:sp macro="" textlink="">
      <xdr:nvSpPr>
        <xdr:cNvPr id="5600694" name="Line 281">
          <a:extLst>
            <a:ext uri="{FF2B5EF4-FFF2-40B4-BE49-F238E27FC236}">
              <a16:creationId xmlns:a16="http://schemas.microsoft.com/office/drawing/2014/main" id="{00000000-0008-0000-0700-0000B6755500}"/>
            </a:ext>
          </a:extLst>
        </xdr:cNvPr>
        <xdr:cNvSpPr>
          <a:spLocks noChangeShapeType="1"/>
        </xdr:cNvSpPr>
      </xdr:nvSpPr>
      <xdr:spPr bwMode="auto">
        <a:xfrm>
          <a:off x="5194300" y="15748000"/>
          <a:ext cx="0" cy="11176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98</xdr:row>
      <xdr:rowOff>139700</xdr:rowOff>
    </xdr:from>
    <xdr:to>
      <xdr:col>8</xdr:col>
      <xdr:colOff>533400</xdr:colOff>
      <xdr:row>102</xdr:row>
      <xdr:rowOff>101600</xdr:rowOff>
    </xdr:to>
    <xdr:sp macro="" textlink="">
      <xdr:nvSpPr>
        <xdr:cNvPr id="5600695" name="Line 282">
          <a:extLst>
            <a:ext uri="{FF2B5EF4-FFF2-40B4-BE49-F238E27FC236}">
              <a16:creationId xmlns:a16="http://schemas.microsoft.com/office/drawing/2014/main" id="{00000000-0008-0000-0700-0000B7755500}"/>
            </a:ext>
          </a:extLst>
        </xdr:cNvPr>
        <xdr:cNvSpPr>
          <a:spLocks noChangeShapeType="1"/>
        </xdr:cNvSpPr>
      </xdr:nvSpPr>
      <xdr:spPr bwMode="auto">
        <a:xfrm>
          <a:off x="7721600" y="16662400"/>
          <a:ext cx="0" cy="647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93</xdr:row>
      <xdr:rowOff>63500</xdr:rowOff>
    </xdr:from>
    <xdr:to>
      <xdr:col>8</xdr:col>
      <xdr:colOff>533400</xdr:colOff>
      <xdr:row>98</xdr:row>
      <xdr:rowOff>139700</xdr:rowOff>
    </xdr:to>
    <xdr:sp macro="" textlink="">
      <xdr:nvSpPr>
        <xdr:cNvPr id="5600696" name="Line 283">
          <a:extLst>
            <a:ext uri="{FF2B5EF4-FFF2-40B4-BE49-F238E27FC236}">
              <a16:creationId xmlns:a16="http://schemas.microsoft.com/office/drawing/2014/main" id="{00000000-0008-0000-0700-0000B8755500}"/>
            </a:ext>
          </a:extLst>
        </xdr:cNvPr>
        <xdr:cNvSpPr>
          <a:spLocks noChangeShapeType="1"/>
        </xdr:cNvSpPr>
      </xdr:nvSpPr>
      <xdr:spPr bwMode="auto">
        <a:xfrm>
          <a:off x="7721600" y="15735300"/>
          <a:ext cx="0" cy="9271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102</xdr:row>
      <xdr:rowOff>101600</xdr:rowOff>
    </xdr:from>
    <xdr:to>
      <xdr:col>8</xdr:col>
      <xdr:colOff>0</xdr:colOff>
      <xdr:row>103</xdr:row>
      <xdr:rowOff>0</xdr:rowOff>
    </xdr:to>
    <xdr:sp macro="" textlink="">
      <xdr:nvSpPr>
        <xdr:cNvPr id="5600697" name="Line 284">
          <a:extLst>
            <a:ext uri="{FF2B5EF4-FFF2-40B4-BE49-F238E27FC236}">
              <a16:creationId xmlns:a16="http://schemas.microsoft.com/office/drawing/2014/main" id="{00000000-0008-0000-0700-0000B9755500}"/>
            </a:ext>
          </a:extLst>
        </xdr:cNvPr>
        <xdr:cNvSpPr>
          <a:spLocks noChangeShapeType="1"/>
        </xdr:cNvSpPr>
      </xdr:nvSpPr>
      <xdr:spPr bwMode="auto">
        <a:xfrm flipV="1">
          <a:off x="7213600" y="17310100"/>
          <a:ext cx="0" cy="635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1562100</xdr:colOff>
      <xdr:row>99</xdr:row>
      <xdr:rowOff>139700</xdr:rowOff>
    </xdr:from>
    <xdr:to>
      <xdr:col>6</xdr:col>
      <xdr:colOff>1562100</xdr:colOff>
      <xdr:row>103</xdr:row>
      <xdr:rowOff>0</xdr:rowOff>
    </xdr:to>
    <xdr:sp macro="" textlink="">
      <xdr:nvSpPr>
        <xdr:cNvPr id="5600698" name="Line 285">
          <a:extLst>
            <a:ext uri="{FF2B5EF4-FFF2-40B4-BE49-F238E27FC236}">
              <a16:creationId xmlns:a16="http://schemas.microsoft.com/office/drawing/2014/main" id="{00000000-0008-0000-0700-0000BA755500}"/>
            </a:ext>
          </a:extLst>
        </xdr:cNvPr>
        <xdr:cNvSpPr>
          <a:spLocks noChangeShapeType="1"/>
        </xdr:cNvSpPr>
      </xdr:nvSpPr>
      <xdr:spPr bwMode="auto">
        <a:xfrm flipH="1" flipV="1">
          <a:off x="6235700" y="16827500"/>
          <a:ext cx="0" cy="5461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1549400</xdr:colOff>
      <xdr:row>103</xdr:row>
      <xdr:rowOff>0</xdr:rowOff>
    </xdr:from>
    <xdr:to>
      <xdr:col>8</xdr:col>
      <xdr:colOff>0</xdr:colOff>
      <xdr:row>103</xdr:row>
      <xdr:rowOff>0</xdr:rowOff>
    </xdr:to>
    <xdr:sp macro="" textlink="">
      <xdr:nvSpPr>
        <xdr:cNvPr id="5600699" name="Line 286">
          <a:extLst>
            <a:ext uri="{FF2B5EF4-FFF2-40B4-BE49-F238E27FC236}">
              <a16:creationId xmlns:a16="http://schemas.microsoft.com/office/drawing/2014/main" id="{00000000-0008-0000-0700-0000BB755500}"/>
            </a:ext>
          </a:extLst>
        </xdr:cNvPr>
        <xdr:cNvSpPr>
          <a:spLocks noChangeShapeType="1"/>
        </xdr:cNvSpPr>
      </xdr:nvSpPr>
      <xdr:spPr bwMode="auto">
        <a:xfrm>
          <a:off x="6223000" y="17373600"/>
          <a:ext cx="9906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749300</xdr:colOff>
      <xdr:row>89</xdr:row>
      <xdr:rowOff>76200</xdr:rowOff>
    </xdr:from>
    <xdr:to>
      <xdr:col>6</xdr:col>
      <xdr:colOff>1854200</xdr:colOff>
      <xdr:row>89</xdr:row>
      <xdr:rowOff>76200</xdr:rowOff>
    </xdr:to>
    <xdr:sp macro="" textlink="">
      <xdr:nvSpPr>
        <xdr:cNvPr id="5600700" name="Line 287">
          <a:extLst>
            <a:ext uri="{FF2B5EF4-FFF2-40B4-BE49-F238E27FC236}">
              <a16:creationId xmlns:a16="http://schemas.microsoft.com/office/drawing/2014/main" id="{00000000-0008-0000-0700-0000BC755500}"/>
            </a:ext>
          </a:extLst>
        </xdr:cNvPr>
        <xdr:cNvSpPr>
          <a:spLocks noChangeShapeType="1"/>
        </xdr:cNvSpPr>
      </xdr:nvSpPr>
      <xdr:spPr bwMode="auto">
        <a:xfrm>
          <a:off x="5422900" y="15074900"/>
          <a:ext cx="11049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1079500</xdr:colOff>
      <xdr:row>93</xdr:row>
      <xdr:rowOff>25400</xdr:rowOff>
    </xdr:from>
    <xdr:to>
      <xdr:col>6</xdr:col>
      <xdr:colOff>1524000</xdr:colOff>
      <xdr:row>93</xdr:row>
      <xdr:rowOff>25400</xdr:rowOff>
    </xdr:to>
    <xdr:sp macro="" textlink="">
      <xdr:nvSpPr>
        <xdr:cNvPr id="5600701" name="Line 288">
          <a:extLst>
            <a:ext uri="{FF2B5EF4-FFF2-40B4-BE49-F238E27FC236}">
              <a16:creationId xmlns:a16="http://schemas.microsoft.com/office/drawing/2014/main" id="{00000000-0008-0000-0700-0000BD755500}"/>
            </a:ext>
          </a:extLst>
        </xdr:cNvPr>
        <xdr:cNvSpPr>
          <a:spLocks noChangeShapeType="1"/>
        </xdr:cNvSpPr>
      </xdr:nvSpPr>
      <xdr:spPr bwMode="auto">
        <a:xfrm>
          <a:off x="5753100" y="15697200"/>
          <a:ext cx="4445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927100</xdr:colOff>
      <xdr:row>87</xdr:row>
      <xdr:rowOff>63500</xdr:rowOff>
    </xdr:from>
    <xdr:to>
      <xdr:col>8</xdr:col>
      <xdr:colOff>50800</xdr:colOff>
      <xdr:row>87</xdr:row>
      <xdr:rowOff>63500</xdr:rowOff>
    </xdr:to>
    <xdr:sp macro="" textlink="">
      <xdr:nvSpPr>
        <xdr:cNvPr id="5600702" name="Line 289">
          <a:extLst>
            <a:ext uri="{FF2B5EF4-FFF2-40B4-BE49-F238E27FC236}">
              <a16:creationId xmlns:a16="http://schemas.microsoft.com/office/drawing/2014/main" id="{00000000-0008-0000-0700-0000BE755500}"/>
            </a:ext>
          </a:extLst>
        </xdr:cNvPr>
        <xdr:cNvSpPr>
          <a:spLocks noChangeShapeType="1"/>
        </xdr:cNvSpPr>
      </xdr:nvSpPr>
      <xdr:spPr bwMode="auto">
        <a:xfrm>
          <a:off x="5600700" y="14719300"/>
          <a:ext cx="16637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88</xdr:row>
      <xdr:rowOff>63500</xdr:rowOff>
    </xdr:from>
    <xdr:to>
      <xdr:col>8</xdr:col>
      <xdr:colOff>63500</xdr:colOff>
      <xdr:row>88</xdr:row>
      <xdr:rowOff>63500</xdr:rowOff>
    </xdr:to>
    <xdr:sp macro="" textlink="">
      <xdr:nvSpPr>
        <xdr:cNvPr id="5600703" name="Line 290">
          <a:extLst>
            <a:ext uri="{FF2B5EF4-FFF2-40B4-BE49-F238E27FC236}">
              <a16:creationId xmlns:a16="http://schemas.microsoft.com/office/drawing/2014/main" id="{00000000-0008-0000-0700-0000BF755500}"/>
            </a:ext>
          </a:extLst>
        </xdr:cNvPr>
        <xdr:cNvSpPr>
          <a:spLocks noChangeShapeType="1"/>
        </xdr:cNvSpPr>
      </xdr:nvSpPr>
      <xdr:spPr bwMode="auto">
        <a:xfrm>
          <a:off x="5435600" y="14884400"/>
          <a:ext cx="1841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90</xdr:row>
      <xdr:rowOff>139700</xdr:rowOff>
    </xdr:from>
    <xdr:to>
      <xdr:col>8</xdr:col>
      <xdr:colOff>76200</xdr:colOff>
      <xdr:row>90</xdr:row>
      <xdr:rowOff>139700</xdr:rowOff>
    </xdr:to>
    <xdr:sp macro="" textlink="">
      <xdr:nvSpPr>
        <xdr:cNvPr id="5600704" name="Line 291">
          <a:extLst>
            <a:ext uri="{FF2B5EF4-FFF2-40B4-BE49-F238E27FC236}">
              <a16:creationId xmlns:a16="http://schemas.microsoft.com/office/drawing/2014/main" id="{00000000-0008-0000-0700-0000C0755500}"/>
            </a:ext>
          </a:extLst>
        </xdr:cNvPr>
        <xdr:cNvSpPr>
          <a:spLocks noChangeShapeType="1"/>
        </xdr:cNvSpPr>
      </xdr:nvSpPr>
      <xdr:spPr bwMode="auto">
        <a:xfrm>
          <a:off x="5435600" y="15316200"/>
          <a:ext cx="18542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1066800</xdr:colOff>
      <xdr:row>92</xdr:row>
      <xdr:rowOff>50800</xdr:rowOff>
    </xdr:from>
    <xdr:to>
      <xdr:col>8</xdr:col>
      <xdr:colOff>50800</xdr:colOff>
      <xdr:row>92</xdr:row>
      <xdr:rowOff>50800</xdr:rowOff>
    </xdr:to>
    <xdr:sp macro="" textlink="">
      <xdr:nvSpPr>
        <xdr:cNvPr id="5600705" name="Line 292">
          <a:extLst>
            <a:ext uri="{FF2B5EF4-FFF2-40B4-BE49-F238E27FC236}">
              <a16:creationId xmlns:a16="http://schemas.microsoft.com/office/drawing/2014/main" id="{00000000-0008-0000-0700-0000C1755500}"/>
            </a:ext>
          </a:extLst>
        </xdr:cNvPr>
        <xdr:cNvSpPr>
          <a:spLocks noChangeShapeType="1"/>
        </xdr:cNvSpPr>
      </xdr:nvSpPr>
      <xdr:spPr bwMode="auto">
        <a:xfrm>
          <a:off x="5740400" y="15557500"/>
          <a:ext cx="1524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1955800</xdr:colOff>
      <xdr:row>80</xdr:row>
      <xdr:rowOff>0</xdr:rowOff>
    </xdr:from>
    <xdr:to>
      <xdr:col>6</xdr:col>
      <xdr:colOff>1955800</xdr:colOff>
      <xdr:row>87</xdr:row>
      <xdr:rowOff>63500</xdr:rowOff>
    </xdr:to>
    <xdr:sp macro="" textlink="">
      <xdr:nvSpPr>
        <xdr:cNvPr id="5600706" name="Line 293">
          <a:extLst>
            <a:ext uri="{FF2B5EF4-FFF2-40B4-BE49-F238E27FC236}">
              <a16:creationId xmlns:a16="http://schemas.microsoft.com/office/drawing/2014/main" id="{00000000-0008-0000-0700-0000C2755500}"/>
            </a:ext>
          </a:extLst>
        </xdr:cNvPr>
        <xdr:cNvSpPr>
          <a:spLocks noChangeShapeType="1"/>
        </xdr:cNvSpPr>
      </xdr:nvSpPr>
      <xdr:spPr bwMode="auto">
        <a:xfrm>
          <a:off x="6629400" y="13449300"/>
          <a:ext cx="0" cy="12700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80</xdr:row>
      <xdr:rowOff>0</xdr:rowOff>
    </xdr:from>
    <xdr:to>
      <xdr:col>7</xdr:col>
      <xdr:colOff>203200</xdr:colOff>
      <xdr:row>90</xdr:row>
      <xdr:rowOff>139700</xdr:rowOff>
    </xdr:to>
    <xdr:sp macro="" textlink="">
      <xdr:nvSpPr>
        <xdr:cNvPr id="5600707" name="Line 294">
          <a:extLst>
            <a:ext uri="{FF2B5EF4-FFF2-40B4-BE49-F238E27FC236}">
              <a16:creationId xmlns:a16="http://schemas.microsoft.com/office/drawing/2014/main" id="{00000000-0008-0000-0700-0000C3755500}"/>
            </a:ext>
          </a:extLst>
        </xdr:cNvPr>
        <xdr:cNvSpPr>
          <a:spLocks noChangeShapeType="1"/>
        </xdr:cNvSpPr>
      </xdr:nvSpPr>
      <xdr:spPr bwMode="auto">
        <a:xfrm>
          <a:off x="6908800" y="13449300"/>
          <a:ext cx="0" cy="18669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87</xdr:row>
      <xdr:rowOff>63500</xdr:rowOff>
    </xdr:from>
    <xdr:to>
      <xdr:col>8</xdr:col>
      <xdr:colOff>50800</xdr:colOff>
      <xdr:row>88</xdr:row>
      <xdr:rowOff>63500</xdr:rowOff>
    </xdr:to>
    <xdr:sp macro="" textlink="">
      <xdr:nvSpPr>
        <xdr:cNvPr id="5600708" name="Line 295">
          <a:extLst>
            <a:ext uri="{FF2B5EF4-FFF2-40B4-BE49-F238E27FC236}">
              <a16:creationId xmlns:a16="http://schemas.microsoft.com/office/drawing/2014/main" id="{00000000-0008-0000-0700-0000C4755500}"/>
            </a:ext>
          </a:extLst>
        </xdr:cNvPr>
        <xdr:cNvSpPr>
          <a:spLocks noChangeShapeType="1"/>
        </xdr:cNvSpPr>
      </xdr:nvSpPr>
      <xdr:spPr bwMode="auto">
        <a:xfrm>
          <a:off x="7264400" y="1471930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90</xdr:row>
      <xdr:rowOff>139700</xdr:rowOff>
    </xdr:from>
    <xdr:to>
      <xdr:col>8</xdr:col>
      <xdr:colOff>50800</xdr:colOff>
      <xdr:row>92</xdr:row>
      <xdr:rowOff>50800</xdr:rowOff>
    </xdr:to>
    <xdr:sp macro="" textlink="">
      <xdr:nvSpPr>
        <xdr:cNvPr id="5600709" name="Line 296">
          <a:extLst>
            <a:ext uri="{FF2B5EF4-FFF2-40B4-BE49-F238E27FC236}">
              <a16:creationId xmlns:a16="http://schemas.microsoft.com/office/drawing/2014/main" id="{00000000-0008-0000-0700-0000C5755500}"/>
            </a:ext>
          </a:extLst>
        </xdr:cNvPr>
        <xdr:cNvSpPr>
          <a:spLocks noChangeShapeType="1"/>
        </xdr:cNvSpPr>
      </xdr:nvSpPr>
      <xdr:spPr bwMode="auto">
        <a:xfrm>
          <a:off x="7264400" y="15316200"/>
          <a:ext cx="0" cy="2413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84</xdr:row>
      <xdr:rowOff>101600</xdr:rowOff>
    </xdr:from>
    <xdr:to>
      <xdr:col>6</xdr:col>
      <xdr:colOff>914400</xdr:colOff>
      <xdr:row>84</xdr:row>
      <xdr:rowOff>101600</xdr:rowOff>
    </xdr:to>
    <xdr:sp macro="" textlink="">
      <xdr:nvSpPr>
        <xdr:cNvPr id="5600710" name="Line 297">
          <a:extLst>
            <a:ext uri="{FF2B5EF4-FFF2-40B4-BE49-F238E27FC236}">
              <a16:creationId xmlns:a16="http://schemas.microsoft.com/office/drawing/2014/main" id="{00000000-0008-0000-0700-0000C6755500}"/>
            </a:ext>
          </a:extLst>
        </xdr:cNvPr>
        <xdr:cNvSpPr>
          <a:spLocks noChangeShapeType="1"/>
        </xdr:cNvSpPr>
      </xdr:nvSpPr>
      <xdr:spPr bwMode="auto">
        <a:xfrm>
          <a:off x="4673600" y="142494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89</xdr:row>
      <xdr:rowOff>76200</xdr:rowOff>
    </xdr:from>
    <xdr:to>
      <xdr:col>6</xdr:col>
      <xdr:colOff>749300</xdr:colOff>
      <xdr:row>89</xdr:row>
      <xdr:rowOff>76200</xdr:rowOff>
    </xdr:to>
    <xdr:sp macro="" textlink="">
      <xdr:nvSpPr>
        <xdr:cNvPr id="5600711" name="Line 298">
          <a:extLst>
            <a:ext uri="{FF2B5EF4-FFF2-40B4-BE49-F238E27FC236}">
              <a16:creationId xmlns:a16="http://schemas.microsoft.com/office/drawing/2014/main" id="{00000000-0008-0000-0700-0000C7755500}"/>
            </a:ext>
          </a:extLst>
        </xdr:cNvPr>
        <xdr:cNvSpPr>
          <a:spLocks noChangeShapeType="1"/>
        </xdr:cNvSpPr>
      </xdr:nvSpPr>
      <xdr:spPr bwMode="auto">
        <a:xfrm>
          <a:off x="4673600" y="150749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93</xdr:row>
      <xdr:rowOff>25400</xdr:rowOff>
    </xdr:from>
    <xdr:to>
      <xdr:col>6</xdr:col>
      <xdr:colOff>1066800</xdr:colOff>
      <xdr:row>93</xdr:row>
      <xdr:rowOff>25400</xdr:rowOff>
    </xdr:to>
    <xdr:sp macro="" textlink="">
      <xdr:nvSpPr>
        <xdr:cNvPr id="5600712" name="Line 299">
          <a:extLst>
            <a:ext uri="{FF2B5EF4-FFF2-40B4-BE49-F238E27FC236}">
              <a16:creationId xmlns:a16="http://schemas.microsoft.com/office/drawing/2014/main" id="{00000000-0008-0000-0700-0000C8755500}"/>
            </a:ext>
          </a:extLst>
        </xdr:cNvPr>
        <xdr:cNvSpPr>
          <a:spLocks noChangeShapeType="1"/>
        </xdr:cNvSpPr>
      </xdr:nvSpPr>
      <xdr:spPr bwMode="auto">
        <a:xfrm>
          <a:off x="4673600" y="15697200"/>
          <a:ext cx="10668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96</xdr:row>
      <xdr:rowOff>76200</xdr:rowOff>
    </xdr:from>
    <xdr:to>
      <xdr:col>6</xdr:col>
      <xdr:colOff>520700</xdr:colOff>
      <xdr:row>96</xdr:row>
      <xdr:rowOff>76200</xdr:rowOff>
    </xdr:to>
    <xdr:sp macro="" textlink="">
      <xdr:nvSpPr>
        <xdr:cNvPr id="5600713" name="Line 300">
          <a:extLst>
            <a:ext uri="{FF2B5EF4-FFF2-40B4-BE49-F238E27FC236}">
              <a16:creationId xmlns:a16="http://schemas.microsoft.com/office/drawing/2014/main" id="{00000000-0008-0000-0700-0000C9755500}"/>
            </a:ext>
          </a:extLst>
        </xdr:cNvPr>
        <xdr:cNvSpPr>
          <a:spLocks noChangeShapeType="1"/>
        </xdr:cNvSpPr>
      </xdr:nvSpPr>
      <xdr:spPr bwMode="auto">
        <a:xfrm>
          <a:off x="4673600" y="16256000"/>
          <a:ext cx="520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165100</xdr:colOff>
      <xdr:row>103</xdr:row>
      <xdr:rowOff>0</xdr:rowOff>
    </xdr:from>
    <xdr:to>
      <xdr:col>7</xdr:col>
      <xdr:colOff>165100</xdr:colOff>
      <xdr:row>104</xdr:row>
      <xdr:rowOff>12700</xdr:rowOff>
    </xdr:to>
    <xdr:sp macro="" textlink="">
      <xdr:nvSpPr>
        <xdr:cNvPr id="5600714" name="Line 301">
          <a:extLst>
            <a:ext uri="{FF2B5EF4-FFF2-40B4-BE49-F238E27FC236}">
              <a16:creationId xmlns:a16="http://schemas.microsoft.com/office/drawing/2014/main" id="{00000000-0008-0000-0700-0000CA755500}"/>
            </a:ext>
          </a:extLst>
        </xdr:cNvPr>
        <xdr:cNvSpPr>
          <a:spLocks noChangeShapeType="1"/>
        </xdr:cNvSpPr>
      </xdr:nvSpPr>
      <xdr:spPr bwMode="auto">
        <a:xfrm>
          <a:off x="6870700" y="1737360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81</xdr:row>
      <xdr:rowOff>76200</xdr:rowOff>
    </xdr:from>
    <xdr:to>
      <xdr:col>6</xdr:col>
      <xdr:colOff>165100</xdr:colOff>
      <xdr:row>81</xdr:row>
      <xdr:rowOff>76200</xdr:rowOff>
    </xdr:to>
    <xdr:sp macro="" textlink="">
      <xdr:nvSpPr>
        <xdr:cNvPr id="5600715" name="Line 302">
          <a:extLst>
            <a:ext uri="{FF2B5EF4-FFF2-40B4-BE49-F238E27FC236}">
              <a16:creationId xmlns:a16="http://schemas.microsoft.com/office/drawing/2014/main" id="{00000000-0008-0000-0700-0000CB755500}"/>
            </a:ext>
          </a:extLst>
        </xdr:cNvPr>
        <xdr:cNvSpPr>
          <a:spLocks noChangeShapeType="1"/>
        </xdr:cNvSpPr>
      </xdr:nvSpPr>
      <xdr:spPr bwMode="auto">
        <a:xfrm>
          <a:off x="4673600" y="137033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1943100</xdr:colOff>
      <xdr:row>83</xdr:row>
      <xdr:rowOff>88900</xdr:rowOff>
    </xdr:from>
    <xdr:to>
      <xdr:col>9</xdr:col>
      <xdr:colOff>0</xdr:colOff>
      <xdr:row>83</xdr:row>
      <xdr:rowOff>88900</xdr:rowOff>
    </xdr:to>
    <xdr:sp macro="" textlink="">
      <xdr:nvSpPr>
        <xdr:cNvPr id="5600716" name="Line 303">
          <a:extLst>
            <a:ext uri="{FF2B5EF4-FFF2-40B4-BE49-F238E27FC236}">
              <a16:creationId xmlns:a16="http://schemas.microsoft.com/office/drawing/2014/main" id="{00000000-0008-0000-0700-0000CC755500}"/>
            </a:ext>
          </a:extLst>
        </xdr:cNvPr>
        <xdr:cNvSpPr>
          <a:spLocks noChangeShapeType="1"/>
        </xdr:cNvSpPr>
      </xdr:nvSpPr>
      <xdr:spPr bwMode="auto">
        <a:xfrm flipV="1">
          <a:off x="6616700" y="14058900"/>
          <a:ext cx="11049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85</xdr:row>
      <xdr:rowOff>76200</xdr:rowOff>
    </xdr:from>
    <xdr:to>
      <xdr:col>9</xdr:col>
      <xdr:colOff>0</xdr:colOff>
      <xdr:row>85</xdr:row>
      <xdr:rowOff>76200</xdr:rowOff>
    </xdr:to>
    <xdr:sp macro="" textlink="">
      <xdr:nvSpPr>
        <xdr:cNvPr id="5600717" name="Line 304">
          <a:extLst>
            <a:ext uri="{FF2B5EF4-FFF2-40B4-BE49-F238E27FC236}">
              <a16:creationId xmlns:a16="http://schemas.microsoft.com/office/drawing/2014/main" id="{00000000-0008-0000-0700-0000CD755500}"/>
            </a:ext>
          </a:extLst>
        </xdr:cNvPr>
        <xdr:cNvSpPr>
          <a:spLocks noChangeShapeType="1"/>
        </xdr:cNvSpPr>
      </xdr:nvSpPr>
      <xdr:spPr bwMode="auto">
        <a:xfrm flipV="1">
          <a:off x="6908800" y="14401800"/>
          <a:ext cx="8128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87</xdr:row>
      <xdr:rowOff>139700</xdr:rowOff>
    </xdr:from>
    <xdr:to>
      <xdr:col>9</xdr:col>
      <xdr:colOff>0</xdr:colOff>
      <xdr:row>87</xdr:row>
      <xdr:rowOff>139700</xdr:rowOff>
    </xdr:to>
    <xdr:sp macro="" textlink="">
      <xdr:nvSpPr>
        <xdr:cNvPr id="5600718" name="Line 305">
          <a:extLst>
            <a:ext uri="{FF2B5EF4-FFF2-40B4-BE49-F238E27FC236}">
              <a16:creationId xmlns:a16="http://schemas.microsoft.com/office/drawing/2014/main" id="{00000000-0008-0000-0700-0000CE755500}"/>
            </a:ext>
          </a:extLst>
        </xdr:cNvPr>
        <xdr:cNvSpPr>
          <a:spLocks noChangeShapeType="1"/>
        </xdr:cNvSpPr>
      </xdr:nvSpPr>
      <xdr:spPr bwMode="auto">
        <a:xfrm flipV="1">
          <a:off x="7264400" y="14795500"/>
          <a:ext cx="4572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89</xdr:row>
      <xdr:rowOff>88900</xdr:rowOff>
    </xdr:from>
    <xdr:to>
      <xdr:col>9</xdr:col>
      <xdr:colOff>0</xdr:colOff>
      <xdr:row>89</xdr:row>
      <xdr:rowOff>88900</xdr:rowOff>
    </xdr:to>
    <xdr:sp macro="" textlink="">
      <xdr:nvSpPr>
        <xdr:cNvPr id="5600719" name="Line 307">
          <a:extLst>
            <a:ext uri="{FF2B5EF4-FFF2-40B4-BE49-F238E27FC236}">
              <a16:creationId xmlns:a16="http://schemas.microsoft.com/office/drawing/2014/main" id="{00000000-0008-0000-0700-0000CF755500}"/>
            </a:ext>
          </a:extLst>
        </xdr:cNvPr>
        <xdr:cNvSpPr>
          <a:spLocks noChangeShapeType="1"/>
        </xdr:cNvSpPr>
      </xdr:nvSpPr>
      <xdr:spPr bwMode="auto">
        <a:xfrm flipV="1">
          <a:off x="7721600" y="15087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91</xdr:row>
      <xdr:rowOff>76200</xdr:rowOff>
    </xdr:from>
    <xdr:to>
      <xdr:col>9</xdr:col>
      <xdr:colOff>12700</xdr:colOff>
      <xdr:row>91</xdr:row>
      <xdr:rowOff>76200</xdr:rowOff>
    </xdr:to>
    <xdr:sp macro="" textlink="">
      <xdr:nvSpPr>
        <xdr:cNvPr id="5600720" name="Line 308">
          <a:extLst>
            <a:ext uri="{FF2B5EF4-FFF2-40B4-BE49-F238E27FC236}">
              <a16:creationId xmlns:a16="http://schemas.microsoft.com/office/drawing/2014/main" id="{00000000-0008-0000-0700-0000D0755500}"/>
            </a:ext>
          </a:extLst>
        </xdr:cNvPr>
        <xdr:cNvSpPr>
          <a:spLocks noChangeShapeType="1"/>
        </xdr:cNvSpPr>
      </xdr:nvSpPr>
      <xdr:spPr bwMode="auto">
        <a:xfrm flipH="1" flipV="1">
          <a:off x="7264400" y="15417800"/>
          <a:ext cx="4699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96</xdr:row>
      <xdr:rowOff>76200</xdr:rowOff>
    </xdr:from>
    <xdr:to>
      <xdr:col>9</xdr:col>
      <xdr:colOff>0</xdr:colOff>
      <xdr:row>96</xdr:row>
      <xdr:rowOff>76200</xdr:rowOff>
    </xdr:to>
    <xdr:sp macro="" textlink="">
      <xdr:nvSpPr>
        <xdr:cNvPr id="5600721" name="Line 309">
          <a:extLst>
            <a:ext uri="{FF2B5EF4-FFF2-40B4-BE49-F238E27FC236}">
              <a16:creationId xmlns:a16="http://schemas.microsoft.com/office/drawing/2014/main" id="{00000000-0008-0000-0700-0000D1755500}"/>
            </a:ext>
          </a:extLst>
        </xdr:cNvPr>
        <xdr:cNvSpPr>
          <a:spLocks noChangeShapeType="1"/>
        </xdr:cNvSpPr>
      </xdr:nvSpPr>
      <xdr:spPr bwMode="auto">
        <a:xfrm>
          <a:off x="7721600" y="1625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100</xdr:row>
      <xdr:rowOff>88900</xdr:rowOff>
    </xdr:from>
    <xdr:to>
      <xdr:col>9</xdr:col>
      <xdr:colOff>0</xdr:colOff>
      <xdr:row>100</xdr:row>
      <xdr:rowOff>88900</xdr:rowOff>
    </xdr:to>
    <xdr:sp macro="" textlink="">
      <xdr:nvSpPr>
        <xdr:cNvPr id="5600722" name="Line 310">
          <a:extLst>
            <a:ext uri="{FF2B5EF4-FFF2-40B4-BE49-F238E27FC236}">
              <a16:creationId xmlns:a16="http://schemas.microsoft.com/office/drawing/2014/main" id="{00000000-0008-0000-0700-0000D2755500}"/>
            </a:ext>
          </a:extLst>
        </xdr:cNvPr>
        <xdr:cNvSpPr>
          <a:spLocks noChangeShapeType="1"/>
        </xdr:cNvSpPr>
      </xdr:nvSpPr>
      <xdr:spPr bwMode="auto">
        <a:xfrm>
          <a:off x="7721600" y="1695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241300</xdr:colOff>
      <xdr:row>89</xdr:row>
      <xdr:rowOff>88900</xdr:rowOff>
    </xdr:from>
    <xdr:to>
      <xdr:col>8</xdr:col>
      <xdr:colOff>508000</xdr:colOff>
      <xdr:row>89</xdr:row>
      <xdr:rowOff>88900</xdr:rowOff>
    </xdr:to>
    <xdr:sp macro="" textlink="">
      <xdr:nvSpPr>
        <xdr:cNvPr id="5600723" name="Line 278">
          <a:extLst>
            <a:ext uri="{FF2B5EF4-FFF2-40B4-BE49-F238E27FC236}">
              <a16:creationId xmlns:a16="http://schemas.microsoft.com/office/drawing/2014/main" id="{00000000-0008-0000-0700-0000D3755500}"/>
            </a:ext>
          </a:extLst>
        </xdr:cNvPr>
        <xdr:cNvSpPr>
          <a:spLocks noChangeShapeType="1"/>
        </xdr:cNvSpPr>
      </xdr:nvSpPr>
      <xdr:spPr bwMode="auto">
        <a:xfrm>
          <a:off x="7454900" y="15087600"/>
          <a:ext cx="2667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1</xdr:row>
      <xdr:rowOff>12700</xdr:rowOff>
    </xdr:from>
    <xdr:to>
      <xdr:col>19</xdr:col>
      <xdr:colOff>0</xdr:colOff>
      <xdr:row>31</xdr:row>
      <xdr:rowOff>101600</xdr:rowOff>
    </xdr:to>
    <xdr:grpSp>
      <xdr:nvGrpSpPr>
        <xdr:cNvPr id="5600724" name="Group 232">
          <a:extLst>
            <a:ext uri="{FF2B5EF4-FFF2-40B4-BE49-F238E27FC236}">
              <a16:creationId xmlns:a16="http://schemas.microsoft.com/office/drawing/2014/main" id="{00000000-0008-0000-0700-0000D4755500}"/>
            </a:ext>
          </a:extLst>
        </xdr:cNvPr>
        <xdr:cNvGrpSpPr>
          <a:grpSpLocks/>
        </xdr:cNvGrpSpPr>
      </xdr:nvGrpSpPr>
      <xdr:grpSpPr bwMode="auto">
        <a:xfrm>
          <a:off x="12982575" y="184150"/>
          <a:ext cx="2114550" cy="5127625"/>
          <a:chOff x="3421" y="5379"/>
          <a:chExt cx="2289" cy="5759"/>
        </a:xfrm>
      </xdr:grpSpPr>
      <xdr:grpSp>
        <xdr:nvGrpSpPr>
          <xdr:cNvPr id="5600763" name="Group 233">
            <a:extLst>
              <a:ext uri="{FF2B5EF4-FFF2-40B4-BE49-F238E27FC236}">
                <a16:creationId xmlns:a16="http://schemas.microsoft.com/office/drawing/2014/main" id="{00000000-0008-0000-0700-0000FB7555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600781" name="Arc 234">
              <a:extLst>
                <a:ext uri="{FF2B5EF4-FFF2-40B4-BE49-F238E27FC236}">
                  <a16:creationId xmlns:a16="http://schemas.microsoft.com/office/drawing/2014/main" id="{00000000-0008-0000-0700-00000D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782" name="Group 235">
              <a:extLst>
                <a:ext uri="{FF2B5EF4-FFF2-40B4-BE49-F238E27FC236}">
                  <a16:creationId xmlns:a16="http://schemas.microsoft.com/office/drawing/2014/main" id="{00000000-0008-0000-0700-00000E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783" name="Line 236">
                <a:extLst>
                  <a:ext uri="{FF2B5EF4-FFF2-40B4-BE49-F238E27FC236}">
                    <a16:creationId xmlns:a16="http://schemas.microsoft.com/office/drawing/2014/main" id="{00000000-0008-0000-0700-00000F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4" name="Line 237">
                <a:extLst>
                  <a:ext uri="{FF2B5EF4-FFF2-40B4-BE49-F238E27FC236}">
                    <a16:creationId xmlns:a16="http://schemas.microsoft.com/office/drawing/2014/main" id="{00000000-0008-0000-0700-000010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5" name="Line 238">
                <a:extLst>
                  <a:ext uri="{FF2B5EF4-FFF2-40B4-BE49-F238E27FC236}">
                    <a16:creationId xmlns:a16="http://schemas.microsoft.com/office/drawing/2014/main" id="{00000000-0008-0000-0700-000011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6" name="Line 239">
                <a:extLst>
                  <a:ext uri="{FF2B5EF4-FFF2-40B4-BE49-F238E27FC236}">
                    <a16:creationId xmlns:a16="http://schemas.microsoft.com/office/drawing/2014/main" id="{00000000-0008-0000-0700-000012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7" name="Line 240">
                <a:extLst>
                  <a:ext uri="{FF2B5EF4-FFF2-40B4-BE49-F238E27FC236}">
                    <a16:creationId xmlns:a16="http://schemas.microsoft.com/office/drawing/2014/main" id="{00000000-0008-0000-0700-000013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grpSp>
        <xdr:nvGrpSpPr>
          <xdr:cNvPr id="5600764" name="Group 241">
            <a:extLst>
              <a:ext uri="{FF2B5EF4-FFF2-40B4-BE49-F238E27FC236}">
                <a16:creationId xmlns:a16="http://schemas.microsoft.com/office/drawing/2014/main" id="{00000000-0008-0000-0700-0000FC7555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600774" name="Arc 242">
              <a:extLst>
                <a:ext uri="{FF2B5EF4-FFF2-40B4-BE49-F238E27FC236}">
                  <a16:creationId xmlns:a16="http://schemas.microsoft.com/office/drawing/2014/main" id="{00000000-0008-0000-0700-000006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775" name="Group 243">
              <a:extLst>
                <a:ext uri="{FF2B5EF4-FFF2-40B4-BE49-F238E27FC236}">
                  <a16:creationId xmlns:a16="http://schemas.microsoft.com/office/drawing/2014/main" id="{00000000-0008-0000-0700-000007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776" name="Line 244">
                <a:extLst>
                  <a:ext uri="{FF2B5EF4-FFF2-40B4-BE49-F238E27FC236}">
                    <a16:creationId xmlns:a16="http://schemas.microsoft.com/office/drawing/2014/main" id="{00000000-0008-0000-0700-000008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7" name="Line 245">
                <a:extLst>
                  <a:ext uri="{FF2B5EF4-FFF2-40B4-BE49-F238E27FC236}">
                    <a16:creationId xmlns:a16="http://schemas.microsoft.com/office/drawing/2014/main" id="{00000000-0008-0000-0700-000009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8" name="Line 246">
                <a:extLst>
                  <a:ext uri="{FF2B5EF4-FFF2-40B4-BE49-F238E27FC236}">
                    <a16:creationId xmlns:a16="http://schemas.microsoft.com/office/drawing/2014/main" id="{00000000-0008-0000-0700-00000A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9" name="Line 247">
                <a:extLst>
                  <a:ext uri="{FF2B5EF4-FFF2-40B4-BE49-F238E27FC236}">
                    <a16:creationId xmlns:a16="http://schemas.microsoft.com/office/drawing/2014/main" id="{00000000-0008-0000-0700-00000B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0" name="Line 248">
                <a:extLst>
                  <a:ext uri="{FF2B5EF4-FFF2-40B4-BE49-F238E27FC236}">
                    <a16:creationId xmlns:a16="http://schemas.microsoft.com/office/drawing/2014/main" id="{00000000-0008-0000-0700-00000C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600765" name="Line 249">
            <a:extLst>
              <a:ext uri="{FF2B5EF4-FFF2-40B4-BE49-F238E27FC236}">
                <a16:creationId xmlns:a16="http://schemas.microsoft.com/office/drawing/2014/main" id="{00000000-0008-0000-0700-0000FD7555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6" name="Line 250">
            <a:extLst>
              <a:ext uri="{FF2B5EF4-FFF2-40B4-BE49-F238E27FC236}">
                <a16:creationId xmlns:a16="http://schemas.microsoft.com/office/drawing/2014/main" id="{00000000-0008-0000-0700-0000FE7555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7" name="Line 251">
            <a:extLst>
              <a:ext uri="{FF2B5EF4-FFF2-40B4-BE49-F238E27FC236}">
                <a16:creationId xmlns:a16="http://schemas.microsoft.com/office/drawing/2014/main" id="{00000000-0008-0000-0700-0000FF7555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8" name="Line 252">
            <a:extLst>
              <a:ext uri="{FF2B5EF4-FFF2-40B4-BE49-F238E27FC236}">
                <a16:creationId xmlns:a16="http://schemas.microsoft.com/office/drawing/2014/main" id="{00000000-0008-0000-0700-000000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9" name="Line 253">
            <a:extLst>
              <a:ext uri="{FF2B5EF4-FFF2-40B4-BE49-F238E27FC236}">
                <a16:creationId xmlns:a16="http://schemas.microsoft.com/office/drawing/2014/main" id="{00000000-0008-0000-0700-0000017655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0" name="Line 254">
            <a:extLst>
              <a:ext uri="{FF2B5EF4-FFF2-40B4-BE49-F238E27FC236}">
                <a16:creationId xmlns:a16="http://schemas.microsoft.com/office/drawing/2014/main" id="{00000000-0008-0000-0700-000002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1" name="Line 255">
            <a:extLst>
              <a:ext uri="{FF2B5EF4-FFF2-40B4-BE49-F238E27FC236}">
                <a16:creationId xmlns:a16="http://schemas.microsoft.com/office/drawing/2014/main" id="{00000000-0008-0000-0700-000003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2" name="Line 256">
            <a:extLst>
              <a:ext uri="{FF2B5EF4-FFF2-40B4-BE49-F238E27FC236}">
                <a16:creationId xmlns:a16="http://schemas.microsoft.com/office/drawing/2014/main" id="{00000000-0008-0000-0700-00000476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3" name="Line 257">
            <a:extLst>
              <a:ext uri="{FF2B5EF4-FFF2-40B4-BE49-F238E27FC236}">
                <a16:creationId xmlns:a16="http://schemas.microsoft.com/office/drawing/2014/main" id="{00000000-0008-0000-0700-000005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914400</xdr:colOff>
      <xdr:row>11</xdr:row>
      <xdr:rowOff>101600</xdr:rowOff>
    </xdr:from>
    <xdr:to>
      <xdr:col>18</xdr:col>
      <xdr:colOff>406400</xdr:colOff>
      <xdr:row>11</xdr:row>
      <xdr:rowOff>101600</xdr:rowOff>
    </xdr:to>
    <xdr:sp macro="" textlink="">
      <xdr:nvSpPr>
        <xdr:cNvPr id="5600725" name="Line 268">
          <a:extLst>
            <a:ext uri="{FF2B5EF4-FFF2-40B4-BE49-F238E27FC236}">
              <a16:creationId xmlns:a16="http://schemas.microsoft.com/office/drawing/2014/main" id="{00000000-0008-0000-0700-0000D5755500}"/>
            </a:ext>
          </a:extLst>
        </xdr:cNvPr>
        <xdr:cNvSpPr>
          <a:spLocks noChangeShapeType="1"/>
        </xdr:cNvSpPr>
      </xdr:nvSpPr>
      <xdr:spPr bwMode="auto">
        <a:xfrm flipV="1">
          <a:off x="15735300" y="2032000"/>
          <a:ext cx="7366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1</xdr:row>
      <xdr:rowOff>12700</xdr:rowOff>
    </xdr:from>
    <xdr:to>
      <xdr:col>19</xdr:col>
      <xdr:colOff>368300</xdr:colOff>
      <xdr:row>1</xdr:row>
      <xdr:rowOff>12700</xdr:rowOff>
    </xdr:to>
    <xdr:sp macro="" textlink="">
      <xdr:nvSpPr>
        <xdr:cNvPr id="5600726" name="Line 269">
          <a:extLst>
            <a:ext uri="{FF2B5EF4-FFF2-40B4-BE49-F238E27FC236}">
              <a16:creationId xmlns:a16="http://schemas.microsoft.com/office/drawing/2014/main" id="{00000000-0008-0000-0700-0000D6755500}"/>
            </a:ext>
          </a:extLst>
        </xdr:cNvPr>
        <xdr:cNvSpPr>
          <a:spLocks noChangeShapeType="1"/>
        </xdr:cNvSpPr>
      </xdr:nvSpPr>
      <xdr:spPr bwMode="auto">
        <a:xfrm flipV="1">
          <a:off x="14922500" y="190500"/>
          <a:ext cx="2755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1155700</xdr:colOff>
      <xdr:row>1</xdr:row>
      <xdr:rowOff>12700</xdr:rowOff>
    </xdr:from>
    <xdr:to>
      <xdr:col>18</xdr:col>
      <xdr:colOff>1155700</xdr:colOff>
      <xdr:row>28</xdr:row>
      <xdr:rowOff>139700</xdr:rowOff>
    </xdr:to>
    <xdr:sp macro="" textlink="">
      <xdr:nvSpPr>
        <xdr:cNvPr id="5600727" name="Line 270">
          <a:extLst>
            <a:ext uri="{FF2B5EF4-FFF2-40B4-BE49-F238E27FC236}">
              <a16:creationId xmlns:a16="http://schemas.microsoft.com/office/drawing/2014/main" id="{00000000-0008-0000-0700-0000D7755500}"/>
            </a:ext>
          </a:extLst>
        </xdr:cNvPr>
        <xdr:cNvSpPr>
          <a:spLocks noChangeShapeType="1"/>
        </xdr:cNvSpPr>
      </xdr:nvSpPr>
      <xdr:spPr bwMode="auto">
        <a:xfrm>
          <a:off x="17221200" y="190500"/>
          <a:ext cx="0" cy="4711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127000</xdr:colOff>
      <xdr:row>10</xdr:row>
      <xdr:rowOff>152400</xdr:rowOff>
    </xdr:from>
    <xdr:to>
      <xdr:col>18</xdr:col>
      <xdr:colOff>457200</xdr:colOff>
      <xdr:row>10</xdr:row>
      <xdr:rowOff>152400</xdr:rowOff>
    </xdr:to>
    <xdr:sp macro="" textlink="">
      <xdr:nvSpPr>
        <xdr:cNvPr id="5600728" name="Line 271">
          <a:extLst>
            <a:ext uri="{FF2B5EF4-FFF2-40B4-BE49-F238E27FC236}">
              <a16:creationId xmlns:a16="http://schemas.microsoft.com/office/drawing/2014/main" id="{00000000-0008-0000-0700-0000D8755500}"/>
            </a:ext>
          </a:extLst>
        </xdr:cNvPr>
        <xdr:cNvSpPr>
          <a:spLocks noChangeShapeType="1"/>
        </xdr:cNvSpPr>
      </xdr:nvSpPr>
      <xdr:spPr bwMode="auto">
        <a:xfrm>
          <a:off x="14947900" y="1905000"/>
          <a:ext cx="15748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165100</xdr:colOff>
      <xdr:row>0</xdr:row>
      <xdr:rowOff>165100</xdr:rowOff>
    </xdr:from>
    <xdr:to>
      <xdr:col>17</xdr:col>
      <xdr:colOff>165100</xdr:colOff>
      <xdr:row>10</xdr:row>
      <xdr:rowOff>139700</xdr:rowOff>
    </xdr:to>
    <xdr:sp macro="" textlink="">
      <xdr:nvSpPr>
        <xdr:cNvPr id="5600729" name="Line 272">
          <a:extLst>
            <a:ext uri="{FF2B5EF4-FFF2-40B4-BE49-F238E27FC236}">
              <a16:creationId xmlns:a16="http://schemas.microsoft.com/office/drawing/2014/main" id="{00000000-0008-0000-0700-0000D9755500}"/>
            </a:ext>
          </a:extLst>
        </xdr:cNvPr>
        <xdr:cNvSpPr>
          <a:spLocks noChangeShapeType="1"/>
        </xdr:cNvSpPr>
      </xdr:nvSpPr>
      <xdr:spPr bwMode="auto">
        <a:xfrm flipH="1">
          <a:off x="14986000" y="165100"/>
          <a:ext cx="0" cy="17272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254000</xdr:colOff>
      <xdr:row>31</xdr:row>
      <xdr:rowOff>101600</xdr:rowOff>
    </xdr:from>
    <xdr:to>
      <xdr:col>17</xdr:col>
      <xdr:colOff>88900</xdr:colOff>
      <xdr:row>31</xdr:row>
      <xdr:rowOff>101600</xdr:rowOff>
    </xdr:to>
    <xdr:sp macro="" textlink="">
      <xdr:nvSpPr>
        <xdr:cNvPr id="5600730" name="Line 277">
          <a:extLst>
            <a:ext uri="{FF2B5EF4-FFF2-40B4-BE49-F238E27FC236}">
              <a16:creationId xmlns:a16="http://schemas.microsoft.com/office/drawing/2014/main" id="{00000000-0008-0000-0700-0000DA755500}"/>
            </a:ext>
          </a:extLst>
        </xdr:cNvPr>
        <xdr:cNvSpPr>
          <a:spLocks noChangeShapeType="1"/>
        </xdr:cNvSpPr>
      </xdr:nvSpPr>
      <xdr:spPr bwMode="auto">
        <a:xfrm>
          <a:off x="14185900" y="5397500"/>
          <a:ext cx="723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215900</xdr:colOff>
      <xdr:row>29</xdr:row>
      <xdr:rowOff>88900</xdr:rowOff>
    </xdr:from>
    <xdr:to>
      <xdr:col>18</xdr:col>
      <xdr:colOff>1130300</xdr:colOff>
      <xdr:row>29</xdr:row>
      <xdr:rowOff>88900</xdr:rowOff>
    </xdr:to>
    <xdr:sp macro="" textlink="">
      <xdr:nvSpPr>
        <xdr:cNvPr id="5600731" name="Line 280">
          <a:extLst>
            <a:ext uri="{FF2B5EF4-FFF2-40B4-BE49-F238E27FC236}">
              <a16:creationId xmlns:a16="http://schemas.microsoft.com/office/drawing/2014/main" id="{00000000-0008-0000-0700-0000DB755500}"/>
            </a:ext>
          </a:extLst>
        </xdr:cNvPr>
        <xdr:cNvSpPr>
          <a:spLocks noChangeShapeType="1"/>
        </xdr:cNvSpPr>
      </xdr:nvSpPr>
      <xdr:spPr bwMode="auto">
        <a:xfrm>
          <a:off x="16281400" y="5029200"/>
          <a:ext cx="914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558800</xdr:colOff>
      <xdr:row>20</xdr:row>
      <xdr:rowOff>0</xdr:rowOff>
    </xdr:from>
    <xdr:to>
      <xdr:col>17</xdr:col>
      <xdr:colOff>558800</xdr:colOff>
      <xdr:row>28</xdr:row>
      <xdr:rowOff>127000</xdr:rowOff>
    </xdr:to>
    <xdr:sp macro="" textlink="">
      <xdr:nvSpPr>
        <xdr:cNvPr id="5600732" name="Line 281">
          <a:extLst>
            <a:ext uri="{FF2B5EF4-FFF2-40B4-BE49-F238E27FC236}">
              <a16:creationId xmlns:a16="http://schemas.microsoft.com/office/drawing/2014/main" id="{00000000-0008-0000-0700-0000DC755500}"/>
            </a:ext>
          </a:extLst>
        </xdr:cNvPr>
        <xdr:cNvSpPr>
          <a:spLocks noChangeShapeType="1"/>
        </xdr:cNvSpPr>
      </xdr:nvSpPr>
      <xdr:spPr bwMode="auto">
        <a:xfrm flipH="1">
          <a:off x="15379700" y="3429000"/>
          <a:ext cx="0" cy="14605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342900</xdr:colOff>
      <xdr:row>27</xdr:row>
      <xdr:rowOff>139700</xdr:rowOff>
    </xdr:from>
    <xdr:to>
      <xdr:col>16</xdr:col>
      <xdr:colOff>355600</xdr:colOff>
      <xdr:row>31</xdr:row>
      <xdr:rowOff>101600</xdr:rowOff>
    </xdr:to>
    <xdr:sp macro="" textlink="">
      <xdr:nvSpPr>
        <xdr:cNvPr id="5600733" name="Line 282">
          <a:extLst>
            <a:ext uri="{FF2B5EF4-FFF2-40B4-BE49-F238E27FC236}">
              <a16:creationId xmlns:a16="http://schemas.microsoft.com/office/drawing/2014/main" id="{00000000-0008-0000-0700-0000DD755500}"/>
            </a:ext>
          </a:extLst>
        </xdr:cNvPr>
        <xdr:cNvSpPr>
          <a:spLocks noChangeShapeType="1"/>
        </xdr:cNvSpPr>
      </xdr:nvSpPr>
      <xdr:spPr bwMode="auto">
        <a:xfrm flipH="1">
          <a:off x="14274800" y="4724400"/>
          <a:ext cx="12700" cy="6731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800100</xdr:colOff>
      <xdr:row>20</xdr:row>
      <xdr:rowOff>0</xdr:rowOff>
    </xdr:from>
    <xdr:to>
      <xdr:col>16</xdr:col>
      <xdr:colOff>800100</xdr:colOff>
      <xdr:row>27</xdr:row>
      <xdr:rowOff>139700</xdr:rowOff>
    </xdr:to>
    <xdr:sp macro="" textlink="">
      <xdr:nvSpPr>
        <xdr:cNvPr id="5600734" name="Line 283">
          <a:extLst>
            <a:ext uri="{FF2B5EF4-FFF2-40B4-BE49-F238E27FC236}">
              <a16:creationId xmlns:a16="http://schemas.microsoft.com/office/drawing/2014/main" id="{00000000-0008-0000-0700-0000DE755500}"/>
            </a:ext>
          </a:extLst>
        </xdr:cNvPr>
        <xdr:cNvSpPr>
          <a:spLocks noChangeShapeType="1"/>
        </xdr:cNvSpPr>
      </xdr:nvSpPr>
      <xdr:spPr bwMode="auto">
        <a:xfrm>
          <a:off x="14732000" y="3429000"/>
          <a:ext cx="0" cy="12954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31</xdr:row>
      <xdr:rowOff>101600</xdr:rowOff>
    </xdr:from>
    <xdr:to>
      <xdr:col>17</xdr:col>
      <xdr:colOff>76200</xdr:colOff>
      <xdr:row>32</xdr:row>
      <xdr:rowOff>0</xdr:rowOff>
    </xdr:to>
    <xdr:sp macro="" textlink="">
      <xdr:nvSpPr>
        <xdr:cNvPr id="5600735" name="Line 284">
          <a:extLst>
            <a:ext uri="{FF2B5EF4-FFF2-40B4-BE49-F238E27FC236}">
              <a16:creationId xmlns:a16="http://schemas.microsoft.com/office/drawing/2014/main" id="{00000000-0008-0000-0700-0000DF755500}"/>
            </a:ext>
          </a:extLst>
        </xdr:cNvPr>
        <xdr:cNvSpPr>
          <a:spLocks noChangeShapeType="1"/>
        </xdr:cNvSpPr>
      </xdr:nvSpPr>
      <xdr:spPr bwMode="auto">
        <a:xfrm flipV="1">
          <a:off x="14897100" y="5397500"/>
          <a:ext cx="0" cy="762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1041400</xdr:colOff>
      <xdr:row>29</xdr:row>
      <xdr:rowOff>88900</xdr:rowOff>
    </xdr:from>
    <xdr:to>
      <xdr:col>17</xdr:col>
      <xdr:colOff>1041400</xdr:colOff>
      <xdr:row>31</xdr:row>
      <xdr:rowOff>165100</xdr:rowOff>
    </xdr:to>
    <xdr:sp macro="" textlink="">
      <xdr:nvSpPr>
        <xdr:cNvPr id="5600736" name="Line 285">
          <a:extLst>
            <a:ext uri="{FF2B5EF4-FFF2-40B4-BE49-F238E27FC236}">
              <a16:creationId xmlns:a16="http://schemas.microsoft.com/office/drawing/2014/main" id="{00000000-0008-0000-0700-0000E0755500}"/>
            </a:ext>
          </a:extLst>
        </xdr:cNvPr>
        <xdr:cNvSpPr>
          <a:spLocks noChangeShapeType="1"/>
        </xdr:cNvSpPr>
      </xdr:nvSpPr>
      <xdr:spPr bwMode="auto">
        <a:xfrm flipH="1" flipV="1">
          <a:off x="15862300" y="5029200"/>
          <a:ext cx="0" cy="4318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31</xdr:row>
      <xdr:rowOff>127000</xdr:rowOff>
    </xdr:from>
    <xdr:to>
      <xdr:col>17</xdr:col>
      <xdr:colOff>1054100</xdr:colOff>
      <xdr:row>31</xdr:row>
      <xdr:rowOff>127000</xdr:rowOff>
    </xdr:to>
    <xdr:sp macro="" textlink="">
      <xdr:nvSpPr>
        <xdr:cNvPr id="5600737" name="Line 286">
          <a:extLst>
            <a:ext uri="{FF2B5EF4-FFF2-40B4-BE49-F238E27FC236}">
              <a16:creationId xmlns:a16="http://schemas.microsoft.com/office/drawing/2014/main" id="{00000000-0008-0000-0700-0000E1755500}"/>
            </a:ext>
          </a:extLst>
        </xdr:cNvPr>
        <xdr:cNvSpPr>
          <a:spLocks noChangeShapeType="1"/>
        </xdr:cNvSpPr>
      </xdr:nvSpPr>
      <xdr:spPr bwMode="auto">
        <a:xfrm flipV="1">
          <a:off x="14922500" y="5422900"/>
          <a:ext cx="952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736600</xdr:colOff>
      <xdr:row>16</xdr:row>
      <xdr:rowOff>63500</xdr:rowOff>
    </xdr:from>
    <xdr:to>
      <xdr:col>18</xdr:col>
      <xdr:colOff>558800</xdr:colOff>
      <xdr:row>16</xdr:row>
      <xdr:rowOff>63500</xdr:rowOff>
    </xdr:to>
    <xdr:sp macro="" textlink="">
      <xdr:nvSpPr>
        <xdr:cNvPr id="5600738" name="Line 287">
          <a:extLst>
            <a:ext uri="{FF2B5EF4-FFF2-40B4-BE49-F238E27FC236}">
              <a16:creationId xmlns:a16="http://schemas.microsoft.com/office/drawing/2014/main" id="{00000000-0008-0000-0700-0000E2755500}"/>
            </a:ext>
          </a:extLst>
        </xdr:cNvPr>
        <xdr:cNvSpPr>
          <a:spLocks noChangeShapeType="1"/>
        </xdr:cNvSpPr>
      </xdr:nvSpPr>
      <xdr:spPr bwMode="auto">
        <a:xfrm flipV="1">
          <a:off x="15557500" y="2832100"/>
          <a:ext cx="10668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914400</xdr:colOff>
      <xdr:row>14</xdr:row>
      <xdr:rowOff>127000</xdr:rowOff>
    </xdr:from>
    <xdr:to>
      <xdr:col>19</xdr:col>
      <xdr:colOff>25400</xdr:colOff>
      <xdr:row>14</xdr:row>
      <xdr:rowOff>127000</xdr:rowOff>
    </xdr:to>
    <xdr:sp macro="" textlink="">
      <xdr:nvSpPr>
        <xdr:cNvPr id="5600739" name="Line 289">
          <a:extLst>
            <a:ext uri="{FF2B5EF4-FFF2-40B4-BE49-F238E27FC236}">
              <a16:creationId xmlns:a16="http://schemas.microsoft.com/office/drawing/2014/main" id="{00000000-0008-0000-0700-0000E3755500}"/>
            </a:ext>
          </a:extLst>
        </xdr:cNvPr>
        <xdr:cNvSpPr>
          <a:spLocks noChangeShapeType="1"/>
        </xdr:cNvSpPr>
      </xdr:nvSpPr>
      <xdr:spPr bwMode="auto">
        <a:xfrm>
          <a:off x="15735300" y="2565400"/>
          <a:ext cx="16002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749300</xdr:colOff>
      <xdr:row>15</xdr:row>
      <xdr:rowOff>127000</xdr:rowOff>
    </xdr:from>
    <xdr:to>
      <xdr:col>19</xdr:col>
      <xdr:colOff>50800</xdr:colOff>
      <xdr:row>15</xdr:row>
      <xdr:rowOff>127000</xdr:rowOff>
    </xdr:to>
    <xdr:sp macro="" textlink="">
      <xdr:nvSpPr>
        <xdr:cNvPr id="5600740" name="Line 290">
          <a:extLst>
            <a:ext uri="{FF2B5EF4-FFF2-40B4-BE49-F238E27FC236}">
              <a16:creationId xmlns:a16="http://schemas.microsoft.com/office/drawing/2014/main" id="{00000000-0008-0000-0700-0000E4755500}"/>
            </a:ext>
          </a:extLst>
        </xdr:cNvPr>
        <xdr:cNvSpPr>
          <a:spLocks noChangeShapeType="1"/>
        </xdr:cNvSpPr>
      </xdr:nvSpPr>
      <xdr:spPr bwMode="auto">
        <a:xfrm>
          <a:off x="15570200" y="2730500"/>
          <a:ext cx="17907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736600</xdr:colOff>
      <xdr:row>18</xdr:row>
      <xdr:rowOff>63500</xdr:rowOff>
    </xdr:from>
    <xdr:to>
      <xdr:col>19</xdr:col>
      <xdr:colOff>50800</xdr:colOff>
      <xdr:row>18</xdr:row>
      <xdr:rowOff>63500</xdr:rowOff>
    </xdr:to>
    <xdr:sp macro="" textlink="">
      <xdr:nvSpPr>
        <xdr:cNvPr id="5600741" name="Line 291">
          <a:extLst>
            <a:ext uri="{FF2B5EF4-FFF2-40B4-BE49-F238E27FC236}">
              <a16:creationId xmlns:a16="http://schemas.microsoft.com/office/drawing/2014/main" id="{00000000-0008-0000-0700-0000E5755500}"/>
            </a:ext>
          </a:extLst>
        </xdr:cNvPr>
        <xdr:cNvSpPr>
          <a:spLocks noChangeShapeType="1"/>
        </xdr:cNvSpPr>
      </xdr:nvSpPr>
      <xdr:spPr bwMode="auto">
        <a:xfrm>
          <a:off x="15557500" y="3162300"/>
          <a:ext cx="18034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1041400</xdr:colOff>
      <xdr:row>19</xdr:row>
      <xdr:rowOff>139700</xdr:rowOff>
    </xdr:from>
    <xdr:to>
      <xdr:col>19</xdr:col>
      <xdr:colOff>12700</xdr:colOff>
      <xdr:row>19</xdr:row>
      <xdr:rowOff>139700</xdr:rowOff>
    </xdr:to>
    <xdr:sp macro="" textlink="">
      <xdr:nvSpPr>
        <xdr:cNvPr id="5600742" name="Line 292">
          <a:extLst>
            <a:ext uri="{FF2B5EF4-FFF2-40B4-BE49-F238E27FC236}">
              <a16:creationId xmlns:a16="http://schemas.microsoft.com/office/drawing/2014/main" id="{00000000-0008-0000-0700-0000E6755500}"/>
            </a:ext>
          </a:extLst>
        </xdr:cNvPr>
        <xdr:cNvSpPr>
          <a:spLocks noChangeShapeType="1"/>
        </xdr:cNvSpPr>
      </xdr:nvSpPr>
      <xdr:spPr bwMode="auto">
        <a:xfrm>
          <a:off x="15862300" y="3403600"/>
          <a:ext cx="1460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1244600</xdr:colOff>
      <xdr:row>1</xdr:row>
      <xdr:rowOff>0</xdr:rowOff>
    </xdr:from>
    <xdr:to>
      <xdr:col>18</xdr:col>
      <xdr:colOff>0</xdr:colOff>
      <xdr:row>14</xdr:row>
      <xdr:rowOff>127000</xdr:rowOff>
    </xdr:to>
    <xdr:sp macro="" textlink="">
      <xdr:nvSpPr>
        <xdr:cNvPr id="5600743" name="Line 293">
          <a:extLst>
            <a:ext uri="{FF2B5EF4-FFF2-40B4-BE49-F238E27FC236}">
              <a16:creationId xmlns:a16="http://schemas.microsoft.com/office/drawing/2014/main" id="{00000000-0008-0000-0700-0000E7755500}"/>
            </a:ext>
          </a:extLst>
        </xdr:cNvPr>
        <xdr:cNvSpPr>
          <a:spLocks noChangeShapeType="1"/>
        </xdr:cNvSpPr>
      </xdr:nvSpPr>
      <xdr:spPr bwMode="auto">
        <a:xfrm flipH="1">
          <a:off x="16065500" y="177800"/>
          <a:ext cx="0" cy="23876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203200</xdr:colOff>
      <xdr:row>1</xdr:row>
      <xdr:rowOff>0</xdr:rowOff>
    </xdr:from>
    <xdr:to>
      <xdr:col>18</xdr:col>
      <xdr:colOff>203200</xdr:colOff>
      <xdr:row>18</xdr:row>
      <xdr:rowOff>63500</xdr:rowOff>
    </xdr:to>
    <xdr:sp macro="" textlink="">
      <xdr:nvSpPr>
        <xdr:cNvPr id="5600744" name="Line 294">
          <a:extLst>
            <a:ext uri="{FF2B5EF4-FFF2-40B4-BE49-F238E27FC236}">
              <a16:creationId xmlns:a16="http://schemas.microsoft.com/office/drawing/2014/main" id="{00000000-0008-0000-0700-0000E8755500}"/>
            </a:ext>
          </a:extLst>
        </xdr:cNvPr>
        <xdr:cNvSpPr>
          <a:spLocks noChangeShapeType="1"/>
        </xdr:cNvSpPr>
      </xdr:nvSpPr>
      <xdr:spPr bwMode="auto">
        <a:xfrm>
          <a:off x="16268700" y="177800"/>
          <a:ext cx="0" cy="29845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14</xdr:row>
      <xdr:rowOff>127000</xdr:rowOff>
    </xdr:from>
    <xdr:to>
      <xdr:col>19</xdr:col>
      <xdr:colOff>25400</xdr:colOff>
      <xdr:row>15</xdr:row>
      <xdr:rowOff>127000</xdr:rowOff>
    </xdr:to>
    <xdr:sp macro="" textlink="">
      <xdr:nvSpPr>
        <xdr:cNvPr id="5600745" name="Line 295">
          <a:extLst>
            <a:ext uri="{FF2B5EF4-FFF2-40B4-BE49-F238E27FC236}">
              <a16:creationId xmlns:a16="http://schemas.microsoft.com/office/drawing/2014/main" id="{00000000-0008-0000-0700-0000E9755500}"/>
            </a:ext>
          </a:extLst>
        </xdr:cNvPr>
        <xdr:cNvSpPr>
          <a:spLocks noChangeShapeType="1"/>
        </xdr:cNvSpPr>
      </xdr:nvSpPr>
      <xdr:spPr bwMode="auto">
        <a:xfrm>
          <a:off x="17335500" y="256540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12700</xdr:colOff>
      <xdr:row>18</xdr:row>
      <xdr:rowOff>63500</xdr:rowOff>
    </xdr:from>
    <xdr:to>
      <xdr:col>19</xdr:col>
      <xdr:colOff>12700</xdr:colOff>
      <xdr:row>19</xdr:row>
      <xdr:rowOff>139700</xdr:rowOff>
    </xdr:to>
    <xdr:sp macro="" textlink="">
      <xdr:nvSpPr>
        <xdr:cNvPr id="5600746" name="Line 296">
          <a:extLst>
            <a:ext uri="{FF2B5EF4-FFF2-40B4-BE49-F238E27FC236}">
              <a16:creationId xmlns:a16="http://schemas.microsoft.com/office/drawing/2014/main" id="{00000000-0008-0000-0700-0000EA755500}"/>
            </a:ext>
          </a:extLst>
        </xdr:cNvPr>
        <xdr:cNvSpPr>
          <a:spLocks noChangeShapeType="1"/>
        </xdr:cNvSpPr>
      </xdr:nvSpPr>
      <xdr:spPr bwMode="auto">
        <a:xfrm>
          <a:off x="17322800" y="3162300"/>
          <a:ext cx="0" cy="2413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11</xdr:row>
      <xdr:rowOff>101600</xdr:rowOff>
    </xdr:from>
    <xdr:to>
      <xdr:col>17</xdr:col>
      <xdr:colOff>914400</xdr:colOff>
      <xdr:row>11</xdr:row>
      <xdr:rowOff>101600</xdr:rowOff>
    </xdr:to>
    <xdr:sp macro="" textlink="">
      <xdr:nvSpPr>
        <xdr:cNvPr id="5600747" name="Line 297">
          <a:extLst>
            <a:ext uri="{FF2B5EF4-FFF2-40B4-BE49-F238E27FC236}">
              <a16:creationId xmlns:a16="http://schemas.microsoft.com/office/drawing/2014/main" id="{00000000-0008-0000-0700-0000EB755500}"/>
            </a:ext>
          </a:extLst>
        </xdr:cNvPr>
        <xdr:cNvSpPr>
          <a:spLocks noChangeShapeType="1"/>
        </xdr:cNvSpPr>
      </xdr:nvSpPr>
      <xdr:spPr bwMode="auto">
        <a:xfrm>
          <a:off x="14820900" y="20320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16</xdr:row>
      <xdr:rowOff>63500</xdr:rowOff>
    </xdr:from>
    <xdr:to>
      <xdr:col>17</xdr:col>
      <xdr:colOff>749300</xdr:colOff>
      <xdr:row>16</xdr:row>
      <xdr:rowOff>63500</xdr:rowOff>
    </xdr:to>
    <xdr:sp macro="" textlink="">
      <xdr:nvSpPr>
        <xdr:cNvPr id="5600748" name="Line 298">
          <a:extLst>
            <a:ext uri="{FF2B5EF4-FFF2-40B4-BE49-F238E27FC236}">
              <a16:creationId xmlns:a16="http://schemas.microsoft.com/office/drawing/2014/main" id="{00000000-0008-0000-0700-0000EC755500}"/>
            </a:ext>
          </a:extLst>
        </xdr:cNvPr>
        <xdr:cNvSpPr>
          <a:spLocks noChangeShapeType="1"/>
        </xdr:cNvSpPr>
      </xdr:nvSpPr>
      <xdr:spPr bwMode="auto">
        <a:xfrm>
          <a:off x="14820900" y="28321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558800</xdr:colOff>
      <xdr:row>31</xdr:row>
      <xdr:rowOff>127000</xdr:rowOff>
    </xdr:from>
    <xdr:to>
      <xdr:col>17</xdr:col>
      <xdr:colOff>558800</xdr:colOff>
      <xdr:row>33</xdr:row>
      <xdr:rowOff>101600</xdr:rowOff>
    </xdr:to>
    <xdr:sp macro="" textlink="">
      <xdr:nvSpPr>
        <xdr:cNvPr id="5600749" name="Line 301">
          <a:extLst>
            <a:ext uri="{FF2B5EF4-FFF2-40B4-BE49-F238E27FC236}">
              <a16:creationId xmlns:a16="http://schemas.microsoft.com/office/drawing/2014/main" id="{00000000-0008-0000-0700-0000ED755500}"/>
            </a:ext>
          </a:extLst>
        </xdr:cNvPr>
        <xdr:cNvSpPr>
          <a:spLocks noChangeShapeType="1"/>
        </xdr:cNvSpPr>
      </xdr:nvSpPr>
      <xdr:spPr bwMode="auto">
        <a:xfrm flipH="1">
          <a:off x="15379700" y="5422900"/>
          <a:ext cx="0" cy="330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2</xdr:row>
      <xdr:rowOff>76200</xdr:rowOff>
    </xdr:from>
    <xdr:to>
      <xdr:col>17</xdr:col>
      <xdr:colOff>165100</xdr:colOff>
      <xdr:row>2</xdr:row>
      <xdr:rowOff>76200</xdr:rowOff>
    </xdr:to>
    <xdr:sp macro="" textlink="">
      <xdr:nvSpPr>
        <xdr:cNvPr id="5600750" name="Line 302">
          <a:extLst>
            <a:ext uri="{FF2B5EF4-FFF2-40B4-BE49-F238E27FC236}">
              <a16:creationId xmlns:a16="http://schemas.microsoft.com/office/drawing/2014/main" id="{00000000-0008-0000-0700-0000EE755500}"/>
            </a:ext>
          </a:extLst>
        </xdr:cNvPr>
        <xdr:cNvSpPr>
          <a:spLocks noChangeShapeType="1"/>
        </xdr:cNvSpPr>
      </xdr:nvSpPr>
      <xdr:spPr bwMode="auto">
        <a:xfrm>
          <a:off x="14820900" y="4318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1943100</xdr:colOff>
      <xdr:row>10</xdr:row>
      <xdr:rowOff>88900</xdr:rowOff>
    </xdr:from>
    <xdr:to>
      <xdr:col>20</xdr:col>
      <xdr:colOff>0</xdr:colOff>
      <xdr:row>10</xdr:row>
      <xdr:rowOff>88900</xdr:rowOff>
    </xdr:to>
    <xdr:sp macro="" textlink="">
      <xdr:nvSpPr>
        <xdr:cNvPr id="5600751" name="Line 303">
          <a:extLst>
            <a:ext uri="{FF2B5EF4-FFF2-40B4-BE49-F238E27FC236}">
              <a16:creationId xmlns:a16="http://schemas.microsoft.com/office/drawing/2014/main" id="{00000000-0008-0000-0700-0000EF755500}"/>
            </a:ext>
          </a:extLst>
        </xdr:cNvPr>
        <xdr:cNvSpPr>
          <a:spLocks noChangeShapeType="1"/>
        </xdr:cNvSpPr>
      </xdr:nvSpPr>
      <xdr:spPr bwMode="auto">
        <a:xfrm flipV="1">
          <a:off x="16065500" y="1841500"/>
          <a:ext cx="21336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203200</xdr:colOff>
      <xdr:row>12</xdr:row>
      <xdr:rowOff>76200</xdr:rowOff>
    </xdr:from>
    <xdr:to>
      <xdr:col>20</xdr:col>
      <xdr:colOff>0</xdr:colOff>
      <xdr:row>12</xdr:row>
      <xdr:rowOff>76200</xdr:rowOff>
    </xdr:to>
    <xdr:sp macro="" textlink="">
      <xdr:nvSpPr>
        <xdr:cNvPr id="5600752" name="Line 304">
          <a:extLst>
            <a:ext uri="{FF2B5EF4-FFF2-40B4-BE49-F238E27FC236}">
              <a16:creationId xmlns:a16="http://schemas.microsoft.com/office/drawing/2014/main" id="{00000000-0008-0000-0700-0000F0755500}"/>
            </a:ext>
          </a:extLst>
        </xdr:cNvPr>
        <xdr:cNvSpPr>
          <a:spLocks noChangeShapeType="1"/>
        </xdr:cNvSpPr>
      </xdr:nvSpPr>
      <xdr:spPr bwMode="auto">
        <a:xfrm flipV="1">
          <a:off x="16268700" y="2184400"/>
          <a:ext cx="19304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15</xdr:row>
      <xdr:rowOff>50800</xdr:rowOff>
    </xdr:from>
    <xdr:to>
      <xdr:col>19</xdr:col>
      <xdr:colOff>863600</xdr:colOff>
      <xdr:row>15</xdr:row>
      <xdr:rowOff>50800</xdr:rowOff>
    </xdr:to>
    <xdr:sp macro="" textlink="">
      <xdr:nvSpPr>
        <xdr:cNvPr id="5600753" name="Line 305">
          <a:extLst>
            <a:ext uri="{FF2B5EF4-FFF2-40B4-BE49-F238E27FC236}">
              <a16:creationId xmlns:a16="http://schemas.microsoft.com/office/drawing/2014/main" id="{00000000-0008-0000-0700-0000F1755500}"/>
            </a:ext>
          </a:extLst>
        </xdr:cNvPr>
        <xdr:cNvSpPr>
          <a:spLocks noChangeShapeType="1"/>
        </xdr:cNvSpPr>
      </xdr:nvSpPr>
      <xdr:spPr bwMode="auto">
        <a:xfrm flipV="1">
          <a:off x="17335500" y="2654300"/>
          <a:ext cx="8382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19</xdr:row>
      <xdr:rowOff>25400</xdr:rowOff>
    </xdr:from>
    <xdr:to>
      <xdr:col>19</xdr:col>
      <xdr:colOff>889000</xdr:colOff>
      <xdr:row>19</xdr:row>
      <xdr:rowOff>25400</xdr:rowOff>
    </xdr:to>
    <xdr:sp macro="" textlink="">
      <xdr:nvSpPr>
        <xdr:cNvPr id="5600754" name="Line 308">
          <a:extLst>
            <a:ext uri="{FF2B5EF4-FFF2-40B4-BE49-F238E27FC236}">
              <a16:creationId xmlns:a16="http://schemas.microsoft.com/office/drawing/2014/main" id="{00000000-0008-0000-0700-0000F2755500}"/>
            </a:ext>
          </a:extLst>
        </xdr:cNvPr>
        <xdr:cNvSpPr>
          <a:spLocks noChangeShapeType="1"/>
        </xdr:cNvSpPr>
      </xdr:nvSpPr>
      <xdr:spPr bwMode="auto">
        <a:xfrm flipH="1" flipV="1">
          <a:off x="17335500" y="3289300"/>
          <a:ext cx="8636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889000</xdr:colOff>
      <xdr:row>28</xdr:row>
      <xdr:rowOff>88900</xdr:rowOff>
    </xdr:from>
    <xdr:to>
      <xdr:col>16</xdr:col>
      <xdr:colOff>355600</xdr:colOff>
      <xdr:row>28</xdr:row>
      <xdr:rowOff>88900</xdr:rowOff>
    </xdr:to>
    <xdr:sp macro="" textlink="">
      <xdr:nvSpPr>
        <xdr:cNvPr id="5600755" name="Line 310">
          <a:extLst>
            <a:ext uri="{FF2B5EF4-FFF2-40B4-BE49-F238E27FC236}">
              <a16:creationId xmlns:a16="http://schemas.microsoft.com/office/drawing/2014/main" id="{00000000-0008-0000-0700-0000F3755500}"/>
            </a:ext>
          </a:extLst>
        </xdr:cNvPr>
        <xdr:cNvSpPr>
          <a:spLocks noChangeShapeType="1"/>
        </xdr:cNvSpPr>
      </xdr:nvSpPr>
      <xdr:spPr bwMode="auto">
        <a:xfrm>
          <a:off x="13931900" y="4851400"/>
          <a:ext cx="355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254000</xdr:colOff>
      <xdr:row>27</xdr:row>
      <xdr:rowOff>127000</xdr:rowOff>
    </xdr:from>
    <xdr:to>
      <xdr:col>17</xdr:col>
      <xdr:colOff>76200</xdr:colOff>
      <xdr:row>27</xdr:row>
      <xdr:rowOff>127000</xdr:rowOff>
    </xdr:to>
    <xdr:sp macro="" textlink="">
      <xdr:nvSpPr>
        <xdr:cNvPr id="5600756" name="Line 277">
          <a:extLst>
            <a:ext uri="{FF2B5EF4-FFF2-40B4-BE49-F238E27FC236}">
              <a16:creationId xmlns:a16="http://schemas.microsoft.com/office/drawing/2014/main" id="{00000000-0008-0000-0700-0000F4755500}"/>
            </a:ext>
          </a:extLst>
        </xdr:cNvPr>
        <xdr:cNvSpPr>
          <a:spLocks noChangeShapeType="1"/>
        </xdr:cNvSpPr>
      </xdr:nvSpPr>
      <xdr:spPr bwMode="auto">
        <a:xfrm>
          <a:off x="14185900" y="4711700"/>
          <a:ext cx="711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457200</xdr:colOff>
      <xdr:row>28</xdr:row>
      <xdr:rowOff>127000</xdr:rowOff>
    </xdr:from>
    <xdr:to>
      <xdr:col>19</xdr:col>
      <xdr:colOff>88900</xdr:colOff>
      <xdr:row>28</xdr:row>
      <xdr:rowOff>127000</xdr:rowOff>
    </xdr:to>
    <xdr:sp macro="" textlink="">
      <xdr:nvSpPr>
        <xdr:cNvPr id="5600757" name="Line 280">
          <a:extLst>
            <a:ext uri="{FF2B5EF4-FFF2-40B4-BE49-F238E27FC236}">
              <a16:creationId xmlns:a16="http://schemas.microsoft.com/office/drawing/2014/main" id="{00000000-0008-0000-0700-0000F5755500}"/>
            </a:ext>
          </a:extLst>
        </xdr:cNvPr>
        <xdr:cNvSpPr>
          <a:spLocks noChangeShapeType="1"/>
        </xdr:cNvSpPr>
      </xdr:nvSpPr>
      <xdr:spPr bwMode="auto">
        <a:xfrm flipV="1">
          <a:off x="15278100" y="4889500"/>
          <a:ext cx="2120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177800</xdr:colOff>
      <xdr:row>30</xdr:row>
      <xdr:rowOff>50800</xdr:rowOff>
    </xdr:from>
    <xdr:to>
      <xdr:col>18</xdr:col>
      <xdr:colOff>1016000</xdr:colOff>
      <xdr:row>30</xdr:row>
      <xdr:rowOff>50800</xdr:rowOff>
    </xdr:to>
    <xdr:sp macro="" textlink="">
      <xdr:nvSpPr>
        <xdr:cNvPr id="5600758" name="Line 280">
          <a:extLst>
            <a:ext uri="{FF2B5EF4-FFF2-40B4-BE49-F238E27FC236}">
              <a16:creationId xmlns:a16="http://schemas.microsoft.com/office/drawing/2014/main" id="{00000000-0008-0000-0700-0000F6755500}"/>
            </a:ext>
          </a:extLst>
        </xdr:cNvPr>
        <xdr:cNvSpPr>
          <a:spLocks noChangeShapeType="1"/>
        </xdr:cNvSpPr>
      </xdr:nvSpPr>
      <xdr:spPr bwMode="auto">
        <a:xfrm>
          <a:off x="16243300" y="5168900"/>
          <a:ext cx="838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1143000</xdr:colOff>
      <xdr:row>20</xdr:row>
      <xdr:rowOff>0</xdr:rowOff>
    </xdr:from>
    <xdr:to>
      <xdr:col>18</xdr:col>
      <xdr:colOff>177800</xdr:colOff>
      <xdr:row>30</xdr:row>
      <xdr:rowOff>50800</xdr:rowOff>
    </xdr:to>
    <xdr:sp macro="" textlink="">
      <xdr:nvSpPr>
        <xdr:cNvPr id="5600759" name="Rectangle 139">
          <a:extLst>
            <a:ext uri="{FF2B5EF4-FFF2-40B4-BE49-F238E27FC236}">
              <a16:creationId xmlns:a16="http://schemas.microsoft.com/office/drawing/2014/main" id="{00000000-0008-0000-0700-0000F7755500}"/>
            </a:ext>
          </a:extLst>
        </xdr:cNvPr>
        <xdr:cNvSpPr>
          <a:spLocks noChangeArrowheads="1"/>
        </xdr:cNvSpPr>
      </xdr:nvSpPr>
      <xdr:spPr bwMode="auto">
        <a:xfrm>
          <a:off x="15963900" y="3429000"/>
          <a:ext cx="279400" cy="1739900"/>
        </a:xfrm>
        <a:prstGeom prst="rect">
          <a:avLst/>
        </a:prstGeom>
        <a:noFill/>
        <a:ln w="9525" algn="ctr">
          <a:solidFill>
            <a:srgbClr val="00B0F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1016000</xdr:colOff>
      <xdr:row>1</xdr:row>
      <xdr:rowOff>12700</xdr:rowOff>
    </xdr:from>
    <xdr:to>
      <xdr:col>18</xdr:col>
      <xdr:colOff>1016000</xdr:colOff>
      <xdr:row>29</xdr:row>
      <xdr:rowOff>76200</xdr:rowOff>
    </xdr:to>
    <xdr:sp macro="" textlink="">
      <xdr:nvSpPr>
        <xdr:cNvPr id="5600760" name="Line 270">
          <a:extLst>
            <a:ext uri="{FF2B5EF4-FFF2-40B4-BE49-F238E27FC236}">
              <a16:creationId xmlns:a16="http://schemas.microsoft.com/office/drawing/2014/main" id="{00000000-0008-0000-0700-0000F8755500}"/>
            </a:ext>
          </a:extLst>
        </xdr:cNvPr>
        <xdr:cNvSpPr>
          <a:spLocks noChangeShapeType="1"/>
        </xdr:cNvSpPr>
      </xdr:nvSpPr>
      <xdr:spPr bwMode="auto">
        <a:xfrm flipH="1">
          <a:off x="17081500" y="190500"/>
          <a:ext cx="0" cy="48260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12700</xdr:colOff>
      <xdr:row>33</xdr:row>
      <xdr:rowOff>101600</xdr:rowOff>
    </xdr:from>
    <xdr:to>
      <xdr:col>17</xdr:col>
      <xdr:colOff>571500</xdr:colOff>
      <xdr:row>33</xdr:row>
      <xdr:rowOff>101600</xdr:rowOff>
    </xdr:to>
    <xdr:sp macro="" textlink="">
      <xdr:nvSpPr>
        <xdr:cNvPr id="5600761" name="Line 301">
          <a:extLst>
            <a:ext uri="{FF2B5EF4-FFF2-40B4-BE49-F238E27FC236}">
              <a16:creationId xmlns:a16="http://schemas.microsoft.com/office/drawing/2014/main" id="{00000000-0008-0000-0700-0000F9755500}"/>
            </a:ext>
          </a:extLst>
        </xdr:cNvPr>
        <xdr:cNvSpPr>
          <a:spLocks noChangeShapeType="1"/>
        </xdr:cNvSpPr>
      </xdr:nvSpPr>
      <xdr:spPr bwMode="auto">
        <a:xfrm>
          <a:off x="14833600" y="5753100"/>
          <a:ext cx="558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863600</xdr:colOff>
      <xdr:row>1</xdr:row>
      <xdr:rowOff>25400</xdr:rowOff>
    </xdr:from>
    <xdr:to>
      <xdr:col>18</xdr:col>
      <xdr:colOff>863600</xdr:colOff>
      <xdr:row>30</xdr:row>
      <xdr:rowOff>38100</xdr:rowOff>
    </xdr:to>
    <xdr:sp macro="" textlink="">
      <xdr:nvSpPr>
        <xdr:cNvPr id="5600762" name="Line 270">
          <a:extLst>
            <a:ext uri="{FF2B5EF4-FFF2-40B4-BE49-F238E27FC236}">
              <a16:creationId xmlns:a16="http://schemas.microsoft.com/office/drawing/2014/main" id="{00000000-0008-0000-0700-0000FA755500}"/>
            </a:ext>
          </a:extLst>
        </xdr:cNvPr>
        <xdr:cNvSpPr>
          <a:spLocks noChangeShapeType="1"/>
        </xdr:cNvSpPr>
      </xdr:nvSpPr>
      <xdr:spPr bwMode="auto">
        <a:xfrm>
          <a:off x="16929100" y="203200"/>
          <a:ext cx="0" cy="49530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oleObject" Target="../embeddings/oleObject1.bin"/><Relationship Id="rId7" Type="http://schemas.openxmlformats.org/officeDocument/2006/relationships/ctrlProp" Target="../ctrlProps/ctrlProp1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10" Type="http://schemas.openxmlformats.org/officeDocument/2006/relationships/comments" Target="../comments2.xml"/><Relationship Id="rId4" Type="http://schemas.openxmlformats.org/officeDocument/2006/relationships/image" Target="../media/image6.emf"/><Relationship Id="rId9" Type="http://schemas.openxmlformats.org/officeDocument/2006/relationships/ctrlProp" Target="../ctrlProps/ctrlProp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7.e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25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image" Target="../media/image38.emf"/><Relationship Id="rId2" Type="http://schemas.openxmlformats.org/officeDocument/2006/relationships/hyperlink" Target="http://www.planete-sciences.org/espace/basedoc/" TargetMode="External"/><Relationship Id="rId16" Type="http://schemas.openxmlformats.org/officeDocument/2006/relationships/image" Target="../media/image12.emf"/><Relationship Id="rId29" Type="http://schemas.openxmlformats.org/officeDocument/2006/relationships/oleObject" Target="../embeddings/oleObject14.bin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6.emf"/><Relationship Id="rId32" Type="http://schemas.openxmlformats.org/officeDocument/2006/relationships/image" Target="../media/image20.emf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24.emf"/><Relationship Id="rId45" Type="http://schemas.openxmlformats.org/officeDocument/2006/relationships/oleObject" Target="../embeddings/oleObject22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33.emf"/><Relationship Id="rId66" Type="http://schemas.openxmlformats.org/officeDocument/2006/relationships/image" Target="../media/image37.emf"/><Relationship Id="rId74" Type="http://schemas.openxmlformats.org/officeDocument/2006/relationships/image" Target="../media/image41.emf"/><Relationship Id="rId5" Type="http://schemas.openxmlformats.org/officeDocument/2006/relationships/oleObject" Target="../embeddings/oleObject2.bin"/><Relationship Id="rId61" Type="http://schemas.openxmlformats.org/officeDocument/2006/relationships/oleObject" Target="../embeddings/oleObject30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11.emf"/><Relationship Id="rId22" Type="http://schemas.openxmlformats.org/officeDocument/2006/relationships/image" Target="../media/image15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9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8.emf"/><Relationship Id="rId56" Type="http://schemas.openxmlformats.org/officeDocument/2006/relationships/image" Target="../media/image32.emf"/><Relationship Id="rId64" Type="http://schemas.openxmlformats.org/officeDocument/2006/relationships/image" Target="../media/image36.emf"/><Relationship Id="rId69" Type="http://schemas.openxmlformats.org/officeDocument/2006/relationships/oleObject" Target="../embeddings/oleObject34.bin"/><Relationship Id="rId8" Type="http://schemas.openxmlformats.org/officeDocument/2006/relationships/image" Target="../media/image8.e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40.emf"/><Relationship Id="rId3" Type="http://schemas.openxmlformats.org/officeDocument/2006/relationships/drawing" Target="../drawings/drawing5.xml"/><Relationship Id="rId12" Type="http://schemas.openxmlformats.org/officeDocument/2006/relationships/image" Target="../media/image10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23.emf"/><Relationship Id="rId46" Type="http://schemas.openxmlformats.org/officeDocument/2006/relationships/image" Target="../media/image27.e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14.e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31.emf"/><Relationship Id="rId62" Type="http://schemas.openxmlformats.org/officeDocument/2006/relationships/image" Target="../media/image35.emf"/><Relationship Id="rId70" Type="http://schemas.openxmlformats.org/officeDocument/2006/relationships/image" Target="../media/image39.emf"/><Relationship Id="rId75" Type="http://schemas.openxmlformats.org/officeDocument/2006/relationships/oleObject" Target="../embeddings/oleObject37.bin"/><Relationship Id="rId1" Type="http://schemas.openxmlformats.org/officeDocument/2006/relationships/hyperlink" Target="http://en.wikipedia.org/wiki/Template:Numerical_integrators" TargetMode="External"/><Relationship Id="rId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8.emf"/><Relationship Id="rId36" Type="http://schemas.openxmlformats.org/officeDocument/2006/relationships/image" Target="../media/image22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9.e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6.emf"/><Relationship Id="rId52" Type="http://schemas.openxmlformats.org/officeDocument/2006/relationships/image" Target="../media/image30.emf"/><Relationship Id="rId60" Type="http://schemas.openxmlformats.org/officeDocument/2006/relationships/image" Target="../media/image34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6.bin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13.e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21.emf"/><Relationship Id="rId50" Type="http://schemas.openxmlformats.org/officeDocument/2006/relationships/image" Target="../media/image29.emf"/><Relationship Id="rId55" Type="http://schemas.openxmlformats.org/officeDocument/2006/relationships/oleObject" Target="../embeddings/oleObject27.bin"/><Relationship Id="rId76" Type="http://schemas.openxmlformats.org/officeDocument/2006/relationships/image" Target="../media/image42.e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8.bin"/><Relationship Id="rId7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image" Target="../media/image4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2" Type="http://schemas.openxmlformats.org/officeDocument/2006/relationships/hyperlink" Target="mailto:espace@planete-sciences.org" TargetMode="External"/><Relationship Id="rId1" Type="http://schemas.openxmlformats.org/officeDocument/2006/relationships/hyperlink" Target="http://www.planete-sciences.org/espace/basedoc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EE12-8C19-9F4B-B63B-E6B4AC5B4D7E}">
  <sheetPr codeName="Feuil2">
    <pageSetUpPr fitToPage="1"/>
  </sheetPr>
  <dimension ref="A1:W361"/>
  <sheetViews>
    <sheetView showGridLines="0" tabSelected="1" zoomScale="115" zoomScaleNormal="115" zoomScaleSheetLayoutView="100" workbookViewId="0">
      <selection activeCell="C30" sqref="C30"/>
    </sheetView>
  </sheetViews>
  <sheetFormatPr baseColWidth="10" defaultColWidth="11.42578125" defaultRowHeight="12.75" x14ac:dyDescent="0.2"/>
  <cols>
    <col min="1" max="1" width="2.140625" style="24" customWidth="1"/>
    <col min="2" max="2" width="16.42578125" style="24" customWidth="1"/>
    <col min="3" max="3" width="12.85546875" style="31" customWidth="1"/>
    <col min="4" max="4" width="12.85546875" style="24" customWidth="1"/>
    <col min="5" max="5" width="4.140625" style="89" customWidth="1"/>
    <col min="6" max="6" width="10.140625" style="26" bestFit="1" customWidth="1"/>
    <col min="7" max="7" width="10" style="26" bestFit="1" customWidth="1"/>
    <col min="8" max="9" width="8.5703125" style="26" customWidth="1"/>
    <col min="10" max="10" width="5.42578125" style="24" customWidth="1"/>
    <col min="11" max="11" width="2.140625" style="24" customWidth="1"/>
    <col min="12" max="12" width="17" style="24" customWidth="1"/>
    <col min="13" max="13" width="8.5703125" style="24" customWidth="1"/>
    <col min="14" max="15" width="4.42578125" style="24" customWidth="1"/>
    <col min="16" max="16" width="8.5703125" style="24" customWidth="1"/>
    <col min="17" max="18" width="2.140625" style="24" customWidth="1"/>
    <col min="19" max="16384" width="11.42578125" style="24"/>
  </cols>
  <sheetData>
    <row r="1" spans="1:20" ht="12.75" customHeight="1" x14ac:dyDescent="0.2">
      <c r="A1" s="19"/>
      <c r="B1" s="20"/>
      <c r="C1" s="21"/>
      <c r="D1" s="20"/>
      <c r="E1" s="88"/>
      <c r="F1" s="22"/>
      <c r="G1" s="22"/>
      <c r="H1" s="22"/>
      <c r="I1" s="22"/>
      <c r="J1" s="20"/>
      <c r="K1" s="20"/>
      <c r="L1" s="20"/>
      <c r="M1" s="20"/>
      <c r="N1" s="20"/>
      <c r="O1" s="20"/>
      <c r="P1" s="20"/>
      <c r="Q1" s="23"/>
    </row>
    <row r="2" spans="1:20" ht="12.75" customHeight="1" x14ac:dyDescent="0.2">
      <c r="A2" s="25"/>
      <c r="C2" s="564" t="s">
        <v>56</v>
      </c>
      <c r="D2" s="564"/>
      <c r="L2" s="147" t="str">
        <f>"Language/Langue"</f>
        <v>Language/Langue</v>
      </c>
      <c r="M2" s="543" t="s">
        <v>1</v>
      </c>
      <c r="N2" s="543"/>
      <c r="O2" s="543"/>
      <c r="P2" s="544"/>
      <c r="Q2" s="27"/>
    </row>
    <row r="3" spans="1:20" ht="12.75" customHeight="1" x14ac:dyDescent="0.2">
      <c r="A3" s="25"/>
      <c r="C3" s="564"/>
      <c r="D3" s="564"/>
      <c r="L3" s="559"/>
      <c r="M3" s="559"/>
      <c r="N3" s="45"/>
      <c r="Q3" s="27"/>
    </row>
    <row r="4" spans="1:20" ht="12.75" customHeight="1" x14ac:dyDescent="0.2">
      <c r="A4" s="25"/>
      <c r="C4" s="565" t="str">
        <f>IF(Lang="Français","Stabilité de fusée à ailerons",IF(Lang="English","Stability for rocket with fins",""))</f>
        <v>Stabilité de fusée à ailerons</v>
      </c>
      <c r="D4" s="565"/>
      <c r="L4" s="33"/>
      <c r="M4" s="543" t="s">
        <v>553</v>
      </c>
      <c r="N4" s="543"/>
      <c r="O4" s="543"/>
      <c r="P4" s="544"/>
      <c r="Q4" s="27"/>
    </row>
    <row r="5" spans="1:20" ht="12.75" customHeight="1" x14ac:dyDescent="0.25">
      <c r="A5" s="25"/>
      <c r="B5" s="28"/>
      <c r="C5" s="577"/>
      <c r="D5" s="577"/>
      <c r="L5" s="33"/>
      <c r="M5" s="553" t="s">
        <v>159</v>
      </c>
      <c r="N5" s="554"/>
      <c r="O5" s="536" t="s">
        <v>160</v>
      </c>
      <c r="P5" s="536"/>
      <c r="Q5" s="29"/>
    </row>
    <row r="6" spans="1:20" ht="12.75" customHeight="1" thickBot="1" x14ac:dyDescent="0.25">
      <c r="A6" s="25"/>
      <c r="B6" s="87"/>
      <c r="C6" s="587" t="str">
        <f>IF(Lang="Français","Remplir les cases jaunes",IF(Lang="English","Fill-in yellow cells only",""))</f>
        <v>Remplir les cases jaunes</v>
      </c>
      <c r="D6" s="587"/>
      <c r="L6" s="139" t="str">
        <f>IF(Lang="Français","Longueur      'L'",IF(Lang="English","Length      'L'",""))</f>
        <v>Longueur      'L'</v>
      </c>
      <c r="M6" s="555">
        <v>150</v>
      </c>
      <c r="N6" s="556"/>
      <c r="O6" s="535">
        <v>50</v>
      </c>
      <c r="P6" s="535"/>
      <c r="Q6" s="29"/>
    </row>
    <row r="7" spans="1:20" ht="12.75" customHeight="1" thickTop="1" thickBot="1" x14ac:dyDescent="0.25">
      <c r="A7" s="25"/>
      <c r="B7" s="31"/>
      <c r="C7" s="567" t="str">
        <f>IF(Lang="Français","Fusée",IF(Lang="English","Rocket",""))</f>
        <v>Fusée</v>
      </c>
      <c r="D7" s="568"/>
      <c r="L7" s="139" t="str">
        <f>IF(Lang="Français","Diamètre     'D1'",IF(Lang="English","Diameter 'D1'",""))</f>
        <v>Diamètre     'D1'</v>
      </c>
      <c r="M7" s="555">
        <f>D_og</f>
        <v>84</v>
      </c>
      <c r="N7" s="556"/>
      <c r="O7" s="535">
        <f>D_ref</f>
        <v>84</v>
      </c>
      <c r="P7" s="535"/>
      <c r="Q7" s="29"/>
    </row>
    <row r="8" spans="1:20" ht="12.75" customHeight="1" thickTop="1" x14ac:dyDescent="0.2">
      <c r="A8" s="25"/>
      <c r="B8" s="138" t="str">
        <f>IF(Lang="Français","Nom",IF(Lang="English","Name",""))</f>
        <v>Nom</v>
      </c>
      <c r="C8" s="571" t="s">
        <v>554</v>
      </c>
      <c r="D8" s="571"/>
      <c r="E8" s="90"/>
      <c r="K8" s="33"/>
      <c r="L8" s="139" t="str">
        <f>IF(Lang="Français","Diamètre     'D2'",IF(Lang="English","Diameter 'D2'",""))</f>
        <v>Diamètre     'D2'</v>
      </c>
      <c r="M8" s="555">
        <f>D_ref</f>
        <v>84</v>
      </c>
      <c r="N8" s="556"/>
      <c r="O8" s="535">
        <v>84</v>
      </c>
      <c r="P8" s="535"/>
      <c r="Q8" s="29"/>
    </row>
    <row r="9" spans="1:20" ht="12.75" customHeight="1" x14ac:dyDescent="0.2">
      <c r="A9" s="25"/>
      <c r="B9" s="138" t="s">
        <v>4</v>
      </c>
      <c r="C9" s="572" t="s">
        <v>555</v>
      </c>
      <c r="D9" s="572"/>
      <c r="E9" s="90"/>
      <c r="K9" s="33"/>
      <c r="L9" s="139" t="str">
        <f>IF(Lang="Français","Implantation 'x'",IF(Lang="English","Basement 'x'",""))</f>
        <v>Implantation 'x'</v>
      </c>
      <c r="M9" s="555">
        <v>900</v>
      </c>
      <c r="N9" s="556"/>
      <c r="O9" s="535">
        <f>Long_tot-l_r</f>
        <v>1900</v>
      </c>
      <c r="P9" s="535"/>
      <c r="Q9" s="29"/>
    </row>
    <row r="10" spans="1:20" ht="12.75" customHeight="1" x14ac:dyDescent="0.2">
      <c r="A10" s="25"/>
      <c r="B10" s="139" t="s">
        <v>57</v>
      </c>
      <c r="C10" s="569" t="s">
        <v>551</v>
      </c>
      <c r="D10" s="570"/>
      <c r="E10" s="90"/>
      <c r="K10" s="33"/>
      <c r="Q10" s="29"/>
    </row>
    <row r="11" spans="1:20" ht="12.75" customHeight="1" x14ac:dyDescent="0.2">
      <c r="A11" s="25"/>
      <c r="B11" s="139" t="str">
        <f>IF(Lang="Français","Masse",IF(Lang="English","Weight",""))</f>
        <v>Masse</v>
      </c>
      <c r="C11" s="222">
        <v>5500</v>
      </c>
      <c r="D11" s="34" t="s">
        <v>427</v>
      </c>
      <c r="E11" s="90"/>
      <c r="K11" s="33"/>
      <c r="L11" s="107"/>
      <c r="M11" s="224" t="str">
        <f>IF(Lang="Français","Propu plein",IF(Lang="English","Loaded Motor",""))</f>
        <v>Propu plein</v>
      </c>
      <c r="N11" s="560" t="str">
        <f>IF(Lang="Français","Propu vide",IF(Lang="English","Empty Motor",""))</f>
        <v>Propu vide</v>
      </c>
      <c r="O11" s="561"/>
      <c r="P11" s="224" t="str">
        <f>IF(Lang="Français","Sans propu",IF(Lang="English","Without M",""))</f>
        <v>Sans propu</v>
      </c>
      <c r="Q11" s="29"/>
      <c r="S11" s="385"/>
      <c r="T11" s="386" t="str">
        <f>IF(Lang="Français","Propulseur",IF(Lang="English","Motor",""))</f>
        <v>Propulseur</v>
      </c>
    </row>
    <row r="12" spans="1:20" ht="12.75" customHeight="1" x14ac:dyDescent="0.2">
      <c r="A12" s="25"/>
      <c r="B12" s="139" t="str">
        <f>IF(Lang="Français","Centre de Masse",IF(Lang="English","Center of Mass",""))</f>
        <v>Centre de Masse</v>
      </c>
      <c r="C12" s="35">
        <v>950</v>
      </c>
      <c r="D12" s="34" t="s">
        <v>427</v>
      </c>
      <c r="L12" s="108" t="str">
        <f>IF(Lang="Français","Masse propu",IF(Lang="English","Motor Mass",""))</f>
        <v>Masse propu</v>
      </c>
      <c r="M12" s="109">
        <f ca="1">MpropuPlein</f>
        <v>1.6850000000000001</v>
      </c>
      <c r="N12" s="547">
        <f ca="1">MpropuVide</f>
        <v>0.65200000000000002</v>
      </c>
      <c r="O12" s="548"/>
      <c r="P12" s="110" t="s">
        <v>14</v>
      </c>
      <c r="Q12" s="29"/>
      <c r="S12" s="386" t="str">
        <f>IF(Lang="Français","Haut",IF(Lang="English","Top",""))</f>
        <v>Haut</v>
      </c>
      <c r="T12" s="387">
        <f ca="1">XpropuRef-Long_propu</f>
        <v>1462</v>
      </c>
    </row>
    <row r="13" spans="1:20" ht="12.75" customHeight="1" x14ac:dyDescent="0.2">
      <c r="A13" s="25"/>
      <c r="B13" s="139" t="str">
        <f>IF(Lang="Français","Longueur totale",IF(Lang="English","Total length",""))</f>
        <v>Longueur totale</v>
      </c>
      <c r="C13" s="555">
        <v>1950</v>
      </c>
      <c r="D13" s="556"/>
      <c r="L13" s="108" t="str">
        <f>IF(Lang="Français","CdM propu",IF(Lang="English","Motor CoM",""))</f>
        <v>CdM propu</v>
      </c>
      <c r="M13" s="111">
        <f ca="1">XpropuPlein</f>
        <v>250</v>
      </c>
      <c r="N13" s="545">
        <f ca="1">XpropuVide</f>
        <v>240</v>
      </c>
      <c r="O13" s="546"/>
      <c r="P13" s="110" t="s">
        <v>14</v>
      </c>
      <c r="Q13" s="29"/>
      <c r="S13" s="386" t="str">
        <f>IF(Lang="Français","Longueur",IF(Lang="English","Length",""))</f>
        <v>Longueur</v>
      </c>
      <c r="T13" s="387">
        <f ca="1">Long_propu</f>
        <v>488</v>
      </c>
    </row>
    <row r="14" spans="1:20" ht="12.75" customHeight="1" x14ac:dyDescent="0.2">
      <c r="A14" s="25"/>
      <c r="B14" s="139" t="str">
        <f>IF(Lang="Français","Diamètre Réf.",IF(Lang="English","Ref. Diameter",""))</f>
        <v>Diamètre Réf.</v>
      </c>
      <c r="C14" s="555">
        <v>84</v>
      </c>
      <c r="D14" s="556"/>
      <c r="L14" s="108" t="str">
        <f>IF(Lang="Français","Masse fusée",IF(Lang="English","Rocket Mass",""))</f>
        <v>Masse fusée</v>
      </c>
      <c r="M14" s="112">
        <f ca="1">MasseSans+MpropuPlein</f>
        <v>7.1850000000000005</v>
      </c>
      <c r="N14" s="573">
        <f ca="1">MasseSans+MpropuVide</f>
        <v>6.1520000000000001</v>
      </c>
      <c r="O14" s="574"/>
      <c r="P14" s="109">
        <f>IF(OR(D11="sans propu",D11="without motor"),C11/1000,IF(OR(D11="avec propu vide",D11="with empty motor"),C11/1000-MpropuVide,IF(OR(D11="avec propu plein",D11="with loaded motor"),C11/1000-MpropuPlein,"Erreur")))</f>
        <v>5.5</v>
      </c>
      <c r="Q14" s="29"/>
      <c r="S14" s="386" t="str">
        <f>IF(Lang="Français","Bas",IF(Lang="English","Base",""))</f>
        <v>Bas</v>
      </c>
      <c r="T14" s="387">
        <f>XpropuRef</f>
        <v>1950</v>
      </c>
    </row>
    <row r="15" spans="1:20" ht="12.75" customHeight="1" thickBot="1" x14ac:dyDescent="0.25">
      <c r="A15" s="25"/>
      <c r="D15" s="31"/>
      <c r="L15" s="175" t="str">
        <f>IF(Lang="Français","CdM fusée",IF(Lang="English","Rocket CoM",""))</f>
        <v>CdM fusée</v>
      </c>
      <c r="M15" s="176">
        <f ca="1">(XcgSans*MasseSans+(XpropuRef-Long_propu+XpropuPlein)*MpropuPlein)/MassePlein</f>
        <v>1128.7014613778706</v>
      </c>
      <c r="N15" s="575">
        <f ca="1">(XcgSans*MasseSans+(XpropuRef-Long_propu+XpropuVide)*MpropuVide)/MasseVide</f>
        <v>1029.6983094928478</v>
      </c>
      <c r="O15" s="576"/>
      <c r="P15" s="113">
        <f>IF(OR(D12="sans propu",D12="without motor"),C12,IF(OR(D12="avec propu vide",D12="with empty motor"),(C12*MasseVide-(XpropuRef-Long_propu+XpropuVide)*MpropuVide)/MasseSans,IF(OR(D12="avec propu plein",D12="with loaded motor"),(C12*MassePlein-(XpropuRef-Long_propu+XpropuPlein)*MpropuPlein)/MasseSans,"Erreur")))</f>
        <v>950</v>
      </c>
      <c r="Q15" s="29"/>
    </row>
    <row r="16" spans="1:20" ht="12.75" customHeight="1" thickTop="1" thickBot="1" x14ac:dyDescent="0.25">
      <c r="A16" s="25"/>
      <c r="C16" s="579" t="str">
        <f>IF(Lang="Français","Propulseur",IF(Lang="English","Motor",""))</f>
        <v>Propulseur</v>
      </c>
      <c r="D16" s="580"/>
      <c r="L16" s="94"/>
      <c r="M16" s="94"/>
      <c r="N16" s="94"/>
      <c r="O16" s="94"/>
      <c r="P16" s="94"/>
      <c r="Q16" s="29"/>
      <c r="S16" s="385"/>
      <c r="T16" s="386" t="str">
        <f>IF(RIGHT(Type_masquage,1)=",",IF(Lang="Français","Ailerons","Fins"),IF(Lang="Français","Ailerons bas","Lower Fins"))</f>
        <v>Ailerons bas</v>
      </c>
    </row>
    <row r="17" spans="1:20" ht="12.75" customHeight="1" thickTop="1" x14ac:dyDescent="0.2">
      <c r="A17" s="25"/>
      <c r="B17" s="139" t="s">
        <v>57</v>
      </c>
      <c r="C17" s="581" t="s">
        <v>45</v>
      </c>
      <c r="D17" s="582"/>
      <c r="L17" s="114"/>
      <c r="M17" s="557" t="s">
        <v>58</v>
      </c>
      <c r="N17" s="558"/>
      <c r="O17" s="537" t="s">
        <v>68</v>
      </c>
      <c r="P17" s="537"/>
      <c r="Q17" s="29"/>
      <c r="S17" s="386" t="str">
        <f>IF(Lang="Français","Haut","Top")</f>
        <v>Haut</v>
      </c>
      <c r="T17" s="387">
        <f>X_ail-m_ail</f>
        <v>1780</v>
      </c>
    </row>
    <row r="18" spans="1:20" ht="12.75" customHeight="1" x14ac:dyDescent="0.2">
      <c r="A18" s="25"/>
      <c r="B18" s="139" t="str">
        <f>IF(Lang="Français","Position du bas",IF(Lang="English","Basement",""))</f>
        <v>Position du bas</v>
      </c>
      <c r="C18" s="535">
        <f>Long_tot</f>
        <v>1950</v>
      </c>
      <c r="D18" s="535"/>
      <c r="K18" s="37"/>
      <c r="L18" s="108" t="str">
        <f>IF(Lang="Français","Coiffe",IF(Lang="English","Nose Cone",""))</f>
        <v>Coiffe</v>
      </c>
      <c r="M18" s="551">
        <f>IF(LEFT(Forme_ogive,5)="Parab",1/2*Long_ogive,IF(LEFT(Forme_ogive,4)="Ogiv",7/15*Long_ogive,IF(LEFT(Forme_ogive,3)="Con",2/3*Long_ogive)))</f>
        <v>133.33333333333331</v>
      </c>
      <c r="N18" s="552"/>
      <c r="O18" s="538">
        <f>2*POWER(D_og/D_ref, 2)</f>
        <v>2</v>
      </c>
      <c r="P18" s="538"/>
      <c r="Q18" s="29"/>
      <c r="S18" s="386" t="str">
        <f>IF(Lang="Français","Emplanture","Root edge")</f>
        <v>Emplanture</v>
      </c>
      <c r="T18" s="387">
        <f>m_ail</f>
        <v>170</v>
      </c>
    </row>
    <row r="19" spans="1:20" ht="12.75" customHeight="1" thickBot="1" x14ac:dyDescent="0.25">
      <c r="A19" s="25"/>
      <c r="B19" s="428" t="str">
        <f>IF(Propu="Cariacou","Cariacou :"," ")</f>
        <v xml:space="preserve"> </v>
      </c>
      <c r="C19" s="590" t="str">
        <f>IF(Propu="Cariacou",IF(Lang="Français","Campagne nationale",IF(Lang="English","National campagn only","")),"")</f>
        <v/>
      </c>
      <c r="D19" s="590"/>
      <c r="L19" s="108" t="str">
        <f>IF(Lang="Français","Ailerons",IF(Lang="English","Fins",""))</f>
        <v>Ailerons</v>
      </c>
      <c r="M19" s="551">
        <f>(XCpa*Cnail-0.5*XCpi*Cni)/Cnai</f>
        <v>1847.9215190437046</v>
      </c>
      <c r="N19" s="552"/>
      <c r="O19" s="583">
        <f>Cnail-Cni/2</f>
        <v>15.842440965005327</v>
      </c>
      <c r="P19" s="584"/>
      <c r="Q19" s="29"/>
      <c r="S19" s="386" t="str">
        <f>IF(Lang="Français","Bas","Base")</f>
        <v>Bas</v>
      </c>
      <c r="T19" s="387">
        <f>X_ail</f>
        <v>1950</v>
      </c>
    </row>
    <row r="20" spans="1:20" ht="12.75" customHeight="1" thickTop="1" thickBot="1" x14ac:dyDescent="0.25">
      <c r="A20" s="25"/>
      <c r="B20" s="30"/>
      <c r="C20" s="585" t="str">
        <f>IF(Lang="Français","Coiffe",IF(Lang="English","Nose Cone",""))</f>
        <v>Coiffe</v>
      </c>
      <c r="D20" s="586"/>
      <c r="L20" s="108" t="str">
        <f>IF(Lang="Français","Ail bas entier",IF(Lang="English","Total Lower Fins",""))</f>
        <v>Ail bas entier</v>
      </c>
      <c r="M20" s="551">
        <f>X_ail-m_ail+p_ail*(m_ail+2*n_ail)/(3*(m_ail+n_ail))+(m_ail+n_ail-m_ail*n_ail/(m_ail+n_ail))/6</f>
        <v>1845.4166666666667</v>
      </c>
      <c r="N20" s="552"/>
      <c r="O20" s="538">
        <f>4*Q_ail*POWER((E_ail/D_ref),2)*(1+D_ail/(2*E_ail+D_ail))/(1+SQRT(1+POWER(2*f_ail/(m_ail+n_ail),2)))</f>
        <v>23.814482689236364</v>
      </c>
      <c r="P20" s="538"/>
      <c r="Q20" s="29"/>
    </row>
    <row r="21" spans="1:20" ht="12.75" customHeight="1" thickTop="1" x14ac:dyDescent="0.2">
      <c r="A21" s="25"/>
      <c r="B21" s="139" t="str">
        <f>IF(Lang="Français","Forme",IF(Lang="English","Shape",""))</f>
        <v>Forme</v>
      </c>
      <c r="C21" s="562" t="s">
        <v>552</v>
      </c>
      <c r="D21" s="563"/>
      <c r="L21" s="108" t="str">
        <f>IF(Lang="Français","Ailerons haut",IF(Lang="English","Upper Fins",""))</f>
        <v>Ailerons haut</v>
      </c>
      <c r="M21" s="551">
        <f>IF(LEFT(Type_masquage,1)="M",0, X_can-m_can+p_can*(m_can+2*n_can)/(3*(m_can+n_can))+(m_can+n_can-m_can*n_can/(m_can+n_can))/6)</f>
        <v>804.25</v>
      </c>
      <c r="N21" s="552"/>
      <c r="O21" s="538">
        <f>IF(LEFT(Type_masquage,1)="M",0, 4*Q_can*POWER((E_can/D_ref),2)*(1+D_can/(2*E_can+D_can))/(1+SQRT(1+POWER(2*f_can/(m_can+n_can),2))))</f>
        <v>12.544240643890697</v>
      </c>
      <c r="P21" s="538"/>
      <c r="Q21" s="29"/>
    </row>
    <row r="22" spans="1:20" ht="12.75" customHeight="1" x14ac:dyDescent="0.2">
      <c r="A22" s="25"/>
      <c r="B22" s="139" t="str">
        <f>IF(Lang="Français","Hauteur",IF(Lang="English","Heigth",""))</f>
        <v>Hauteur</v>
      </c>
      <c r="C22" s="555">
        <v>200</v>
      </c>
      <c r="D22" s="556"/>
      <c r="L22" s="108" t="str">
        <f>IF(Lang="Français","Partie masquée",IF(Lang="English","Interation zone",""))</f>
        <v>Partie masquée</v>
      </c>
      <c r="M22" s="566">
        <f>IF(LEFT(Type_masquage,1)="B", X_int-m_int+p_int*(m_int+2*n_int)/(3*(m_int+n_int))+(m_int+n_int-m_int*n_int/(m_int+n_int))/6, 0 )</f>
        <v>1840.4388984509467</v>
      </c>
      <c r="N22" s="566"/>
      <c r="O22" s="583">
        <f>IF(LEFT(Type_masquage,1)="B", 4*Q_int*POWER((E_int/D_ref),2)*(1+D_int/(2*E_int+D_int))/(1+SQRT(1+POWER(2*f_int/(m_int+n_int),2))), 0 )</f>
        <v>15.944083448462072</v>
      </c>
      <c r="P22" s="584"/>
      <c r="Q22" s="29"/>
    </row>
    <row r="23" spans="1:20" ht="12.75" customHeight="1" x14ac:dyDescent="0.2">
      <c r="A23" s="25"/>
      <c r="B23" s="139" t="str">
        <f>IF(Lang="Français","Diamètre",IF(Lang="English","Diameter",""))</f>
        <v>Diamètre</v>
      </c>
      <c r="C23" s="555">
        <v>84</v>
      </c>
      <c r="D23" s="556"/>
      <c r="L23" s="108" t="s">
        <v>159</v>
      </c>
      <c r="M23" s="551">
        <f>IF(OR(RIGHT(Nb_diam,1)=",",D2j=0),0, X_j+l_j/3*(1+1/(1+D1j/D2j)) )</f>
        <v>975</v>
      </c>
      <c r="N23" s="552"/>
      <c r="O23" s="538">
        <f>IF(OR(RIGHT(Nb_diam,1)=",",D2j=0),0,2*(POWER(D2j/D_ref,2)-POWER(D1j/D_ref,2)))</f>
        <v>0</v>
      </c>
      <c r="P23" s="538"/>
      <c r="Q23" s="29"/>
    </row>
    <row r="24" spans="1:20" ht="12.75" customHeight="1" thickBot="1" x14ac:dyDescent="0.25">
      <c r="A24" s="25"/>
      <c r="L24" s="108" t="s">
        <v>160</v>
      </c>
      <c r="M24" s="551">
        <f>IF( OR(RIGHT(Nb_diam,1)=",",D2r=0), 0, X_r+l_r/3*(1+1/(1+D1r/D2r)) )</f>
        <v>1925</v>
      </c>
      <c r="N24" s="552"/>
      <c r="O24" s="538">
        <f>IF( OR(RIGHT(Nb_diam,1)=",",D2r=0), 0, 2*(POWER(D2r/D_ref,2)-POWER(D1r/D_ref,2)) )</f>
        <v>0</v>
      </c>
      <c r="P24" s="538"/>
      <c r="Q24" s="29"/>
    </row>
    <row r="25" spans="1:20" ht="12.75" customHeight="1" thickTop="1" thickBot="1" x14ac:dyDescent="0.25">
      <c r="A25" s="25"/>
      <c r="B25" s="30"/>
      <c r="C25" s="178" t="str">
        <f>IF(LEFT(Type_masquage,1)="M",IF(Lang="Français","Ailerons","Fins"),IF(Lang="Français","Ailerons bas","Lower Fins"))</f>
        <v>Ailerons bas</v>
      </c>
      <c r="D25" s="179" t="str">
        <f>IF(Lang="Français","Ailerons haut",IF(Lang="English","Upper Fins",""))</f>
        <v>Ailerons haut</v>
      </c>
      <c r="E25" s="180" t="s">
        <v>154</v>
      </c>
      <c r="L25" s="38"/>
      <c r="M25" s="38"/>
      <c r="N25" s="38"/>
      <c r="Q25" s="29"/>
      <c r="R25" s="38"/>
      <c r="S25" s="388" t="str">
        <f ca="1">IF(AND(Portee_balistique&gt;200,LEFT(Propu,2)="p2"),IF(Lang="Français","Fusée trop lègère !","Rocket too light"),"")</f>
        <v/>
      </c>
    </row>
    <row r="26" spans="1:20" ht="12.75" customHeight="1" thickTop="1" x14ac:dyDescent="0.2">
      <c r="A26" s="25"/>
      <c r="B26" s="30"/>
      <c r="C26" s="588" t="s">
        <v>429</v>
      </c>
      <c r="D26" s="589"/>
      <c r="F26" s="39">
        <f ca="1">TODAY()</f>
        <v>45775</v>
      </c>
      <c r="G26" s="137" t="s">
        <v>65</v>
      </c>
      <c r="H26" s="578" t="str">
        <f>IF(Lang="Français","Résultats",IF(Lang="English","Results",""))</f>
        <v>Résultats</v>
      </c>
      <c r="I26" s="578"/>
      <c r="J26" s="137" t="s">
        <v>66</v>
      </c>
      <c r="K26" s="32"/>
      <c r="L26" s="38"/>
      <c r="M26" s="38"/>
      <c r="N26" s="38"/>
      <c r="Q26" s="29"/>
      <c r="R26" s="38"/>
      <c r="S26" s="388" t="str">
        <f ca="1">IF(AND(Vsortie_de_rampe&lt;18, OR(LEFT(Type_fusee,1)=",",LEFT(Type_fusee,4)="Mini",LEFT(Type_fusee,1)="R")),IF(Lang="Français","Fusée trop lourde ou rampe trop courte !","Rocket too heavy or launch pad too small!"),"")</f>
        <v/>
      </c>
    </row>
    <row r="27" spans="1:20" ht="12.75" customHeight="1" x14ac:dyDescent="0.2">
      <c r="A27" s="25"/>
      <c r="B27" s="526" t="str">
        <f>IF(Lang="Français"," Emplanture  'm'",IF(Lang="English"," Root edge  'm'",""))</f>
        <v xml:space="preserve"> Emplanture  'm'</v>
      </c>
      <c r="C27" s="177">
        <v>170</v>
      </c>
      <c r="D27" s="177">
        <v>130</v>
      </c>
      <c r="E27" s="146">
        <f>m_ail</f>
        <v>170</v>
      </c>
      <c r="F27" s="105" t="s">
        <v>67</v>
      </c>
      <c r="G27" s="104">
        <f>IF(RIGHT(Type_fusee,1)=".",10, IF(OR(LEFT(Type_fusee,1)="R",LEFT(Type_fusee,1)=",",LEFT(Type_fusee,4)="Mini"),10, IF(LEFT(Type_fusee,5)="Micro",10, IF(RIGHT(Type_fusee,1)=" ",1))))</f>
        <v>10</v>
      </c>
      <c r="H27" s="549">
        <f>Long_tot/D_ref</f>
        <v>23.214285714285715</v>
      </c>
      <c r="I27" s="550"/>
      <c r="J27" s="104">
        <f>IF(RIGHT(Type_fusee,1)=".",35, IF(OR(LEFT(Type_fusee,1)="R",LEFT(Type_fusee,1)=",",LEFT(Type_fusee,4)="Mini"),20, IF(LEFT(Type_fusee,5)="Micro",30, IF(RIGHT(Type_fusee,1)=" ",100))))</f>
        <v>35</v>
      </c>
      <c r="K27" s="32"/>
      <c r="L27" s="38"/>
      <c r="M27" s="38"/>
      <c r="N27" s="38"/>
      <c r="Q27" s="29"/>
      <c r="R27" s="38"/>
      <c r="S27" s="388" t="str">
        <f>IF(Finesse&lt;CritFinessemin, IF(Lang="Français","Fusée trop courte !","Rocket too short!"), "" ) &amp; IF(Finesse&gt;CritFinessemax, IF(Lang="Français","Fusée trop longue !","Rocket too long!"), "" )</f>
        <v/>
      </c>
    </row>
    <row r="28" spans="1:20" ht="12.75" customHeight="1" x14ac:dyDescent="0.2">
      <c r="A28" s="25"/>
      <c r="B28" s="526" t="str">
        <f>IF(Lang="Français"," Saumon       'n'",IF(Lang="English"," Tip edge    'n'",""))</f>
        <v xml:space="preserve"> Saumon       'n'</v>
      </c>
      <c r="C28" s="35">
        <v>190</v>
      </c>
      <c r="D28" s="35">
        <v>70</v>
      </c>
      <c r="E28" s="146">
        <f>n_ail+(m_ail-n_ail)*(1-E_int/E_ail)</f>
        <v>185.71428571428572</v>
      </c>
      <c r="F28" s="105" t="str">
        <f>IF(Lang="Français","Portance","Lift")</f>
        <v>Portance</v>
      </c>
      <c r="G28" s="104">
        <f>IF(RIGHT(Type_fusee,1)=".",15,IF(OR(LEFT(Type_fusee,1)="R",LEFT(Type_fusee,1)=",",LEFT(Type_fusee,4)="Mini"),15, IF(LEFT(Type_fusee,5)="Micro",15, IF(RIGHT(Type_fusee,1)=" ",15))))</f>
        <v>15</v>
      </c>
      <c r="H28" s="510">
        <f>Cnai+Cnc+Cno+Cnj+Cnr</f>
        <v>30.386681608896026</v>
      </c>
      <c r="I28" s="510">
        <f>Cnail+Cnc+Cno+Cnj+Cnr</f>
        <v>38.35872333312706</v>
      </c>
      <c r="J28" s="104">
        <f>IF(RIGHT(Type_fusee,1)=".",40, IF(OR(LEFT(Type_fusee,1)="R",LEFT(Type_fusee,1)=",",LEFT(Type_fusee,4)="Mini"),30, IF(LEFT(Type_fusee,5)="Micro",30, IF(RIGHT(Type_fusee,1)=" ",30))))</f>
        <v>40</v>
      </c>
      <c r="K28" s="32"/>
      <c r="L28" s="38"/>
      <c r="M28" s="38"/>
      <c r="N28" s="38"/>
      <c r="Q28" s="29"/>
      <c r="R28" s="38"/>
      <c r="S28" s="388" t="str">
        <f>IF(Cn&lt;CritCnmin, IF(Lang="Français","Ailerons trop petits !","Fins too small!"), "" ) &amp; IF(Cn&gt;CritCnmax, IF(Lang="Français","Ailerons trop grands !","Fins too big!"), "" )</f>
        <v/>
      </c>
    </row>
    <row r="29" spans="1:20" ht="12.75" customHeight="1" x14ac:dyDescent="0.2">
      <c r="A29" s="25"/>
      <c r="B29" s="526" t="str">
        <f>IF(Lang="Français"," Flèche          'p'"," Offset         'p'")</f>
        <v xml:space="preserve"> Flèche          'p'</v>
      </c>
      <c r="C29" s="35">
        <v>40</v>
      </c>
      <c r="D29" s="35">
        <v>130</v>
      </c>
      <c r="E29" s="146">
        <f>p_ail*E_int/E_ail</f>
        <v>31.428571428571427</v>
      </c>
      <c r="F29" s="517" t="str">
        <f>IF(Lang="Français","MargeStat.","StatMargin")</f>
        <v>MargeStat.</v>
      </c>
      <c r="G29" s="512">
        <f>IF(RIGHT(Type_fusee,1)=".",2, IF(OR(LEFT(Type_fusee,1)="R",LEFT(Type_fusee,1)=",",LEFT(Type_fusee,4)="Mini"),1.5, IF(LEFT(Type_fusee,5)="Micro",1, IF(RIGHT(Type_fusee,1)=" ",1))))</f>
        <v>2</v>
      </c>
      <c r="H29" s="97">
        <f ca="1">(XCp-XcgPlein)/D_ref</f>
        <v>2.0895228236400465</v>
      </c>
      <c r="I29" s="98">
        <f ca="1">(XCp0-XcgVide)/D_ref</f>
        <v>4.5948146770129323</v>
      </c>
      <c r="J29" s="512">
        <f>IF(RIGHT(Type_fusee,1)=".",6, IF(OR(LEFT(Type_fusee,1)="R",LEFT(Type_fusee,1)=",",LEFT(Type_fusee,4)="Mini"),6, IF(LEFT(Type_fusee,5)="Micro",3, IF(RIGHT(Type_fusee,1)=" ",3))))</f>
        <v>6</v>
      </c>
      <c r="K29" s="32"/>
      <c r="Q29" s="29"/>
      <c r="R29" s="38"/>
      <c r="S29" s="388" t="str">
        <f ca="1">IF(MS_min&lt;CritMsmin, IF(Lang="Français","Abaisser les ailerons ou rehausser le CdM !","Lower the fins or move up the center of mass!"), "" ) &amp; IF(MS_max&gt;CritMsmax, IF(Lang="Français","Rehausser les ailerons ou abaisser le CdM !","Move up the fins or lower the center of mass!"), "" )</f>
        <v/>
      </c>
    </row>
    <row r="30" spans="1:20" ht="12.75" customHeight="1" x14ac:dyDescent="0.2">
      <c r="A30" s="25"/>
      <c r="B30" s="526" t="str">
        <f>IF(Lang="Français"," Envergure     'E'",IF(Lang="English"," Span          'E'",""))</f>
        <v xml:space="preserve"> Envergure     'E'</v>
      </c>
      <c r="C30" s="35">
        <v>140</v>
      </c>
      <c r="D30" s="35">
        <v>110</v>
      </c>
      <c r="E30" s="146">
        <f>IF(D_can/2+E_can&lt;=D_ail/2,0, IF(D_can/2+E_can&gt;=D_ail/2+E_ail,E_ail,  D_can/2+E_can - D_ail/2  ) )</f>
        <v>110</v>
      </c>
      <c r="F30" s="518" t="str">
        <f>IF(Lang="Français","Couple","Torque")</f>
        <v>Couple</v>
      </c>
      <c r="G30" s="513">
        <f>IF(RIGHT(Type_fusee,1)=".",40, IF(OR(LEFT(Type_fusee,1)="R",LEFT(Type_fusee,1)=",",LEFT(Type_fusee,4)="Mini"),30, IF(LEFT(Type_fusee,5)="Micro",15, IF(RIGHT(Type_fusee,1)=" ",15))))</f>
        <v>40</v>
      </c>
      <c r="H30" s="99">
        <f ca="1">MS_min*Cn</f>
        <v>63.493664756471496</v>
      </c>
      <c r="I30" s="96">
        <f ca="1">MS_max*Cn0</f>
        <v>176.25122496253064</v>
      </c>
      <c r="J30" s="513">
        <f>IF(RIGHT(Type_fusee,1)=".",100, IF(OR(LEFT(Type_fusee,1)="R",LEFT(Type_fusee,1)=",",LEFT(Type_fusee,4)="Mini"),100, IF(LEFT(Type_fusee,5)="Micro",100, IF(RIGHT(Type_fusee,1)=" ",90))))</f>
        <v>100</v>
      </c>
      <c r="K30" s="32"/>
      <c r="Q30" s="29"/>
      <c r="R30" s="38"/>
      <c r="S30" s="388" t="str">
        <f ca="1">IF(MS_Cn_min&lt;CritMsCnmin, IF(Lang="Français","Ailerons trop petits ou trop haut /CdM !","Fins too small or too high /CoM!"), "" ) &amp; IF(MS_Cn_max&gt;CritMsCnmax, IF(Lang="Français","Ailerons trop grands ou trop bas  /CdM !","Fins too big or too low / CoM!"), "" )</f>
        <v>Ailerons trop grands ou trop bas  /CdM !</v>
      </c>
    </row>
    <row r="31" spans="1:20" ht="12.75" customHeight="1" x14ac:dyDescent="0.2">
      <c r="A31" s="25"/>
      <c r="B31" s="527" t="str">
        <f>IF(Lang="Français"," Epaisseur     'ep'",IF(Lang="English"," Thickness  'ep'",""))</f>
        <v xml:space="preserve"> Epaisseur     'ep'</v>
      </c>
      <c r="C31" s="35">
        <v>4</v>
      </c>
      <c r="D31" s="35">
        <v>4</v>
      </c>
      <c r="E31" s="146">
        <f>ep_ail</f>
        <v>4</v>
      </c>
      <c r="F31" s="106" t="s">
        <v>58</v>
      </c>
      <c r="G31" s="103"/>
      <c r="H31" s="511">
        <f>(Cnai*XCpai+Cnc*XCpc+Cnj*XCpj+Cnr*XCpr+Cno*XCpo)/(Cnai+Cnc+Cnr+Cnj+Cno)</f>
        <v>1304.2213785636345</v>
      </c>
      <c r="I31" s="511">
        <f>(Cnail*XCpa+Cnc*XCpc+Cnj*XCpj+Cnr*XCpr+Cno*XCpo)/(Cnail+Cnc+Cnr+Cnj+Cno)</f>
        <v>1415.6627423619341</v>
      </c>
      <c r="J31" s="102"/>
      <c r="K31" s="32"/>
      <c r="Q31" s="29"/>
      <c r="R31" s="38"/>
      <c r="S31" s="388"/>
    </row>
    <row r="32" spans="1:20" ht="12.75" customHeight="1" x14ac:dyDescent="0.2">
      <c r="A32" s="25"/>
      <c r="B32" s="526" t="str">
        <f>IF(Lang="Français"," Nombre            ",IF(Lang="English"," Number of fins",""))</f>
        <v xml:space="preserve"> Nombre            </v>
      </c>
      <c r="C32" s="36">
        <v>4</v>
      </c>
      <c r="D32" s="36">
        <v>4</v>
      </c>
      <c r="E32" s="146">
        <f>IF(Q_ail=Q_can,Q_ail,FALSE)</f>
        <v>4</v>
      </c>
      <c r="F32" s="106" t="s">
        <v>69</v>
      </c>
      <c r="G32" s="103"/>
      <c r="H32" s="100">
        <f ca="1">(XCp-XcgPlein)/Long_tot*100</f>
        <v>9.0010213941417394</v>
      </c>
      <c r="I32" s="101">
        <f ca="1">(XCp-XcgVide)/Long_tot*100</f>
        <v>14.078106106194191</v>
      </c>
      <c r="J32" s="102"/>
      <c r="K32" s="32"/>
      <c r="Q32" s="29"/>
      <c r="R32" s="38"/>
    </row>
    <row r="33" spans="1:23" ht="12.75" customHeight="1" x14ac:dyDescent="0.2">
      <c r="A33" s="25"/>
      <c r="B33" s="526" t="str">
        <f>IF(Lang="Français"," Position du bas",IF(Lang="English"," Basement",""))</f>
        <v xml:space="preserve"> Position du bas</v>
      </c>
      <c r="C33" s="35">
        <f>Long_tot-0</f>
        <v>1950</v>
      </c>
      <c r="D33" s="35">
        <v>850</v>
      </c>
      <c r="E33" s="146">
        <f>X_ail</f>
        <v>1950</v>
      </c>
      <c r="G33" s="24"/>
      <c r="H33" s="539" t="str">
        <f ca="1">IF(AND(CritCnmin&lt;Cn,Cn0&lt;CritCnmax,CritMsmin&lt;MS_min,MS_max&lt;CritMsmax,CritMsCnmin&lt;MS_Cn_min,MS_Cn_max&lt;CritMsCnmax),"STABLE",IF(OR(Cn&lt;CritCnmin,MS_min&lt;CritMsmin,MS_Cn_min&lt;CritMsCnmin),"INSTABLE",IF(Lang="Français","SURSTABLE","OVERSTABLE")))</f>
        <v>SURSTABLE</v>
      </c>
      <c r="I33" s="540"/>
      <c r="J33" s="31"/>
      <c r="K33" s="32"/>
      <c r="Q33" s="29"/>
      <c r="R33" s="38"/>
    </row>
    <row r="34" spans="1:23" ht="12.75" customHeight="1" x14ac:dyDescent="0.2">
      <c r="A34" s="25"/>
      <c r="B34" s="526" t="str">
        <f>IF(Lang="Français"," Diamètre         ",IF(Lang="English"," Diameter at Fins",""))</f>
        <v xml:space="preserve"> Diamètre         </v>
      </c>
      <c r="C34" s="35">
        <v>84</v>
      </c>
      <c r="D34" s="35">
        <v>84</v>
      </c>
      <c r="E34" s="146">
        <f>D_ail</f>
        <v>84</v>
      </c>
      <c r="G34" s="24"/>
      <c r="H34" s="541"/>
      <c r="I34" s="542"/>
      <c r="K34" s="32"/>
      <c r="Q34" s="29"/>
      <c r="R34" s="38"/>
    </row>
    <row r="35" spans="1:23" ht="12.75" customHeight="1" x14ac:dyDescent="0.2">
      <c r="A35" s="25"/>
      <c r="B35" s="526" t="str">
        <f>IF(Lang="Français"," Ligne mi-corde f",IF(Lang="English"," Mid-chord line f",""))</f>
        <v xml:space="preserve"> Ligne mi-corde f</v>
      </c>
      <c r="C35" s="145">
        <f>SQRT(POWER(p_ail+n_ail/2-m_ail/2,2)+POWER(E_ail,2))</f>
        <v>148.66068747318505</v>
      </c>
      <c r="D35" s="145">
        <f>SQRT(POWER(p_can+n_can/2-m_can/2,2)+POWER(E_can,2))</f>
        <v>148.66068747318505</v>
      </c>
      <c r="E35" s="146">
        <f>SQRT(POWER(p_int+n_int/2-m_int/2,2)+POWER(E_int,2))</f>
        <v>116.80482587178825</v>
      </c>
      <c r="K35" s="32"/>
      <c r="Q35" s="29"/>
      <c r="R35" s="38"/>
      <c r="W35" s="24" t="str">
        <f>RIGHT(Type_fusee,1="R")</f>
        <v/>
      </c>
    </row>
    <row r="36" spans="1:23" ht="12.75" customHeight="1" thickBot="1" x14ac:dyDescent="0.25">
      <c r="A36" s="40"/>
      <c r="B36" s="182" t="str">
        <f>IF(Lang="Français","Commentaire libre :",IF(Lang="English","Free comment:",""))</f>
        <v>Commentaire libre :</v>
      </c>
      <c r="C36" s="41"/>
      <c r="D36" s="42"/>
      <c r="E36" s="91"/>
      <c r="F36" s="67"/>
      <c r="G36" s="67"/>
      <c r="H36" s="67"/>
      <c r="I36" s="67"/>
      <c r="J36" s="42"/>
      <c r="K36" s="42"/>
      <c r="L36" s="389" t="s">
        <v>273</v>
      </c>
      <c r="M36" s="392" t="str">
        <f>IF(ROUND(SUM(Propu!5:1218),0)=306466,"propu OK","propu NOK")</f>
        <v>propu OK</v>
      </c>
      <c r="N36" s="391" t="str">
        <f>IF(Lang="Français","fichier initial","Initial file")</f>
        <v>fichier initial</v>
      </c>
      <c r="O36" s="392"/>
      <c r="P36" s="390"/>
      <c r="Q36" s="291" t="s">
        <v>550</v>
      </c>
      <c r="R36" s="38"/>
    </row>
    <row r="37" spans="1:23" ht="12.75" customHeight="1" x14ac:dyDescent="0.2">
      <c r="R37" s="43"/>
    </row>
    <row r="38" spans="1:23" x14ac:dyDescent="0.2">
      <c r="L38" s="226" t="str">
        <f>IF(Lang="Français","Maintenant que votre fusée est stable, vérifiez sa trajectoire via la feuille","Now your rocket is stable, check its trajectory on sheet")</f>
        <v>Maintenant que votre fusée est stable, vérifiez sa trajectoire via la feuille</v>
      </c>
      <c r="M38" s="483" t="s">
        <v>183</v>
      </c>
    </row>
    <row r="39" spans="1:23" x14ac:dyDescent="0.2">
      <c r="H39" s="87"/>
      <c r="O39" s="26"/>
      <c r="P39" s="26"/>
    </row>
    <row r="40" spans="1:23" x14ac:dyDescent="0.2">
      <c r="F40" s="24"/>
      <c r="H40" s="43"/>
      <c r="I40" s="44"/>
      <c r="J40" s="43"/>
      <c r="N40" s="43"/>
      <c r="Q40" s="43"/>
      <c r="S40" s="508"/>
    </row>
    <row r="41" spans="1:23" x14ac:dyDescent="0.2">
      <c r="F41" s="24"/>
      <c r="G41" s="505"/>
      <c r="H41" s="506"/>
      <c r="I41" s="44"/>
      <c r="J41" s="43"/>
      <c r="N41" s="43"/>
      <c r="Q41" s="43"/>
      <c r="R41" s="43"/>
    </row>
    <row r="42" spans="1:23" x14ac:dyDescent="0.2">
      <c r="F42" s="24"/>
      <c r="H42" s="43"/>
      <c r="I42" s="44"/>
      <c r="J42" s="43"/>
      <c r="N42" s="43"/>
      <c r="Q42" s="43"/>
      <c r="R42" s="43"/>
    </row>
    <row r="43" spans="1:23" x14ac:dyDescent="0.2">
      <c r="F43" s="24"/>
      <c r="H43" s="43"/>
      <c r="I43" s="44"/>
      <c r="J43" s="43"/>
      <c r="N43" s="43"/>
      <c r="Q43" s="43"/>
      <c r="R43" s="43"/>
    </row>
    <row r="44" spans="1:23" x14ac:dyDescent="0.2">
      <c r="F44" s="24"/>
      <c r="H44" s="43"/>
      <c r="I44" s="44"/>
      <c r="J44" s="43"/>
      <c r="N44" s="43"/>
      <c r="Q44" s="43"/>
      <c r="R44" s="43"/>
    </row>
    <row r="45" spans="1:23" x14ac:dyDescent="0.2">
      <c r="F45" s="24"/>
      <c r="H45" s="43"/>
      <c r="I45" s="44"/>
      <c r="J45" s="43"/>
      <c r="N45" s="43"/>
      <c r="Q45" s="43"/>
      <c r="R45" s="43"/>
    </row>
    <row r="46" spans="1:23" x14ac:dyDescent="0.2">
      <c r="F46" s="24"/>
      <c r="H46" s="43"/>
      <c r="I46" s="44"/>
      <c r="J46" s="43"/>
      <c r="L46" s="43"/>
      <c r="M46" s="43"/>
      <c r="N46" s="43"/>
      <c r="Q46" s="43"/>
      <c r="R46" s="43"/>
    </row>
    <row r="47" spans="1:23" x14ac:dyDescent="0.2">
      <c r="F47" s="24"/>
      <c r="H47" s="43"/>
      <c r="I47" s="44"/>
      <c r="J47" s="43"/>
      <c r="L47" s="43"/>
      <c r="M47" s="43"/>
      <c r="N47" s="43"/>
      <c r="Q47" s="43"/>
      <c r="R47" s="43"/>
    </row>
    <row r="48" spans="1:23" x14ac:dyDescent="0.2">
      <c r="F48" s="24"/>
      <c r="H48" s="43"/>
      <c r="I48" s="44"/>
      <c r="J48" s="43"/>
      <c r="L48" s="43"/>
      <c r="M48" s="43"/>
      <c r="N48" s="43"/>
      <c r="Q48" s="43"/>
      <c r="R48" s="43"/>
    </row>
    <row r="49" spans="2:18" x14ac:dyDescent="0.2">
      <c r="F49" s="24"/>
      <c r="H49" s="43"/>
      <c r="I49" s="44"/>
      <c r="J49" s="43"/>
      <c r="L49" s="43"/>
      <c r="M49" s="43"/>
      <c r="N49" s="43"/>
      <c r="Q49" s="43"/>
      <c r="R49" s="43"/>
    </row>
    <row r="50" spans="2:18" x14ac:dyDescent="0.2">
      <c r="F50" s="24"/>
      <c r="H50" s="43"/>
      <c r="I50" s="44"/>
      <c r="J50" s="43"/>
      <c r="L50" s="43"/>
      <c r="M50" s="43"/>
      <c r="N50" s="43"/>
      <c r="Q50" s="43"/>
      <c r="R50" s="43"/>
    </row>
    <row r="51" spans="2:18" x14ac:dyDescent="0.2">
      <c r="F51" s="24"/>
      <c r="H51" s="43"/>
      <c r="I51" s="44"/>
      <c r="J51" s="43"/>
      <c r="L51" s="43"/>
      <c r="M51" s="43"/>
      <c r="N51" s="43"/>
      <c r="Q51" s="43"/>
      <c r="R51" s="43"/>
    </row>
    <row r="52" spans="2:18" x14ac:dyDescent="0.2">
      <c r="H52" s="43"/>
      <c r="I52" s="44"/>
      <c r="J52" s="43"/>
      <c r="L52" s="43"/>
      <c r="M52" s="43"/>
      <c r="N52" s="43"/>
      <c r="Q52" s="43"/>
      <c r="R52" s="43"/>
    </row>
    <row r="53" spans="2:18" x14ac:dyDescent="0.2">
      <c r="H53" s="43"/>
      <c r="I53" s="44"/>
      <c r="J53" s="43"/>
      <c r="L53" s="43"/>
      <c r="M53" s="43"/>
      <c r="N53" s="43"/>
      <c r="Q53" s="43"/>
      <c r="R53" s="43"/>
    </row>
    <row r="54" spans="2:18" x14ac:dyDescent="0.2">
      <c r="H54" s="43"/>
      <c r="I54" s="44"/>
      <c r="J54" s="43"/>
      <c r="L54" s="43"/>
      <c r="M54" s="43"/>
      <c r="N54" s="43"/>
      <c r="Q54" s="43"/>
      <c r="R54" s="43"/>
    </row>
    <row r="55" spans="2:18" x14ac:dyDescent="0.2">
      <c r="H55" s="43"/>
      <c r="I55" s="44"/>
      <c r="J55" s="43"/>
      <c r="L55" s="43"/>
      <c r="M55" s="43"/>
      <c r="N55" s="43"/>
      <c r="Q55" s="43"/>
      <c r="R55" s="43"/>
    </row>
    <row r="56" spans="2:18" x14ac:dyDescent="0.2">
      <c r="C56" s="24"/>
      <c r="H56" s="43"/>
      <c r="I56" s="44"/>
      <c r="J56" s="43"/>
      <c r="L56" s="43"/>
      <c r="M56" s="43"/>
      <c r="N56" s="43"/>
      <c r="Q56" s="43"/>
      <c r="R56" s="43"/>
    </row>
    <row r="57" spans="2:18" x14ac:dyDescent="0.2">
      <c r="H57" s="43"/>
      <c r="I57" s="44"/>
      <c r="J57" s="43"/>
      <c r="L57" s="43"/>
      <c r="M57" s="43"/>
      <c r="N57" s="43"/>
      <c r="Q57" s="43"/>
      <c r="R57" s="43"/>
    </row>
    <row r="58" spans="2:18" x14ac:dyDescent="0.2">
      <c r="B58" s="31"/>
      <c r="H58" s="43"/>
      <c r="I58" s="44"/>
      <c r="J58" s="43"/>
      <c r="L58" s="43"/>
      <c r="M58" s="43"/>
      <c r="N58" s="43"/>
      <c r="Q58" s="43"/>
      <c r="R58" s="43"/>
    </row>
    <row r="59" spans="2:18" x14ac:dyDescent="0.2">
      <c r="B59" s="31"/>
      <c r="H59" s="43"/>
      <c r="I59" s="44"/>
      <c r="J59" s="43"/>
      <c r="L59" s="43"/>
      <c r="M59" s="43"/>
      <c r="N59" s="43"/>
      <c r="Q59" s="43"/>
      <c r="R59" s="43"/>
    </row>
    <row r="60" spans="2:18" x14ac:dyDescent="0.2">
      <c r="B60" s="31"/>
      <c r="H60" s="43"/>
      <c r="I60" s="44"/>
      <c r="J60" s="43"/>
      <c r="L60" s="43"/>
      <c r="M60" s="43"/>
      <c r="N60" s="43"/>
      <c r="Q60" s="43"/>
      <c r="R60" s="43"/>
    </row>
    <row r="61" spans="2:18" x14ac:dyDescent="0.2">
      <c r="B61" s="31"/>
      <c r="H61" s="43"/>
      <c r="I61" s="44"/>
      <c r="J61" s="43"/>
      <c r="L61" s="43"/>
      <c r="M61" s="43"/>
      <c r="N61" s="43"/>
      <c r="Q61" s="43"/>
      <c r="R61" s="43"/>
    </row>
    <row r="62" spans="2:18" x14ac:dyDescent="0.2">
      <c r="B62" s="31"/>
      <c r="H62" s="43"/>
      <c r="I62" s="44"/>
      <c r="J62" s="43"/>
      <c r="L62" s="43"/>
      <c r="M62" s="43"/>
      <c r="N62" s="43"/>
      <c r="Q62" s="43"/>
      <c r="R62" s="43"/>
    </row>
    <row r="63" spans="2:18" x14ac:dyDescent="0.2">
      <c r="B63" s="31"/>
      <c r="H63" s="43"/>
      <c r="I63" s="44"/>
      <c r="J63" s="43"/>
      <c r="L63" s="43"/>
      <c r="M63" s="43"/>
      <c r="N63" s="43"/>
      <c r="Q63" s="43"/>
      <c r="R63" s="43"/>
    </row>
    <row r="64" spans="2:18" x14ac:dyDescent="0.2">
      <c r="B64" s="31"/>
      <c r="H64" s="43"/>
      <c r="I64" s="44"/>
      <c r="J64" s="43"/>
      <c r="L64" s="43"/>
      <c r="M64" s="43"/>
      <c r="N64" s="43"/>
      <c r="Q64" s="43"/>
      <c r="R64" s="43"/>
    </row>
    <row r="65" spans="2:18" x14ac:dyDescent="0.2">
      <c r="B65" s="31"/>
      <c r="H65" s="43"/>
      <c r="I65" s="44"/>
      <c r="J65" s="43"/>
      <c r="L65" s="43"/>
      <c r="M65" s="43"/>
      <c r="N65" s="43"/>
      <c r="Q65" s="43"/>
      <c r="R65" s="43"/>
    </row>
    <row r="66" spans="2:18" x14ac:dyDescent="0.2">
      <c r="B66" s="31"/>
      <c r="H66" s="43"/>
      <c r="I66" s="44"/>
      <c r="J66" s="43"/>
      <c r="L66" s="43"/>
      <c r="M66" s="43"/>
      <c r="N66" s="43"/>
      <c r="Q66" s="43"/>
      <c r="R66" s="43"/>
    </row>
    <row r="67" spans="2:18" x14ac:dyDescent="0.2">
      <c r="C67" s="24"/>
      <c r="H67" s="43"/>
      <c r="I67" s="44"/>
      <c r="J67" s="43"/>
      <c r="L67" s="43"/>
      <c r="M67" s="43"/>
      <c r="N67" s="43"/>
      <c r="Q67" s="43"/>
      <c r="R67" s="43"/>
    </row>
    <row r="68" spans="2:18" x14ac:dyDescent="0.2">
      <c r="C68" s="24"/>
      <c r="H68" s="43"/>
      <c r="I68" s="44"/>
      <c r="J68" s="43"/>
      <c r="L68" s="43"/>
      <c r="M68" s="43"/>
      <c r="N68" s="43"/>
      <c r="Q68" s="43"/>
      <c r="R68" s="43"/>
    </row>
    <row r="69" spans="2:18" x14ac:dyDescent="0.2">
      <c r="C69" s="24"/>
      <c r="H69" s="43"/>
      <c r="I69" s="44"/>
      <c r="J69" s="43"/>
      <c r="L69" s="43"/>
      <c r="M69" s="43"/>
      <c r="N69" s="43"/>
      <c r="Q69" s="43"/>
      <c r="R69" s="43"/>
    </row>
    <row r="70" spans="2:18" x14ac:dyDescent="0.2">
      <c r="C70" s="24"/>
      <c r="H70" s="43"/>
      <c r="I70" s="44"/>
      <c r="J70" s="43"/>
      <c r="L70" s="43"/>
      <c r="M70" s="43"/>
      <c r="N70" s="43"/>
      <c r="Q70" s="43"/>
      <c r="R70" s="43"/>
    </row>
    <row r="71" spans="2:18" x14ac:dyDescent="0.2">
      <c r="C71" s="24"/>
      <c r="H71" s="43"/>
      <c r="I71" s="44"/>
      <c r="J71" s="43"/>
      <c r="L71" s="43"/>
      <c r="M71" s="43"/>
      <c r="N71" s="43"/>
      <c r="Q71" s="43"/>
      <c r="R71" s="43"/>
    </row>
    <row r="72" spans="2:18" x14ac:dyDescent="0.2">
      <c r="C72" s="24"/>
      <c r="H72" s="43"/>
      <c r="I72" s="44"/>
      <c r="J72" s="43"/>
      <c r="L72" s="43"/>
      <c r="M72" s="43"/>
      <c r="N72" s="43"/>
      <c r="Q72" s="43"/>
      <c r="R72" s="43"/>
    </row>
    <row r="73" spans="2:18" x14ac:dyDescent="0.2">
      <c r="C73" s="24"/>
      <c r="H73" s="43"/>
      <c r="I73" s="44"/>
      <c r="J73" s="43"/>
      <c r="L73" s="43"/>
      <c r="M73" s="43"/>
      <c r="N73" s="43"/>
      <c r="Q73" s="43"/>
      <c r="R73" s="43"/>
    </row>
    <row r="74" spans="2:18" x14ac:dyDescent="0.2">
      <c r="C74" s="24"/>
      <c r="H74" s="43"/>
      <c r="I74" s="44"/>
      <c r="J74" s="43"/>
      <c r="L74" s="43"/>
      <c r="M74" s="43"/>
      <c r="N74" s="43"/>
      <c r="Q74" s="43"/>
      <c r="R74" s="43"/>
    </row>
    <row r="75" spans="2:18" x14ac:dyDescent="0.2">
      <c r="C75" s="24"/>
      <c r="H75" s="43"/>
      <c r="I75" s="44"/>
      <c r="J75" s="43"/>
      <c r="L75" s="43"/>
      <c r="M75" s="43"/>
      <c r="N75" s="43"/>
      <c r="Q75" s="43"/>
      <c r="R75" s="43"/>
    </row>
    <row r="76" spans="2:18" x14ac:dyDescent="0.2">
      <c r="C76" s="24"/>
      <c r="H76" s="43"/>
      <c r="I76" s="44"/>
      <c r="J76" s="43"/>
      <c r="L76" s="43"/>
      <c r="M76" s="43"/>
      <c r="N76" s="43"/>
      <c r="Q76" s="43"/>
      <c r="R76" s="43"/>
    </row>
    <row r="77" spans="2:18" x14ac:dyDescent="0.2">
      <c r="C77" s="24"/>
      <c r="H77" s="43"/>
      <c r="I77" s="44"/>
      <c r="J77" s="43"/>
      <c r="L77" s="43"/>
      <c r="M77" s="43"/>
      <c r="N77" s="43"/>
      <c r="Q77" s="43"/>
      <c r="R77" s="43"/>
    </row>
    <row r="78" spans="2:18" x14ac:dyDescent="0.2">
      <c r="C78" s="24"/>
      <c r="H78" s="43"/>
      <c r="I78" s="44"/>
      <c r="J78" s="43"/>
      <c r="L78" s="43"/>
      <c r="M78" s="43"/>
      <c r="N78" s="43"/>
      <c r="Q78" s="43"/>
      <c r="R78" s="43"/>
    </row>
    <row r="79" spans="2:18" x14ac:dyDescent="0.2">
      <c r="C79" s="24"/>
      <c r="H79" s="43"/>
      <c r="I79" s="44"/>
      <c r="J79" s="43"/>
      <c r="L79" s="43"/>
      <c r="M79" s="43"/>
      <c r="N79" s="43"/>
      <c r="Q79" s="43"/>
      <c r="R79" s="43"/>
    </row>
    <row r="80" spans="2:18" x14ac:dyDescent="0.2">
      <c r="C80" s="24"/>
      <c r="H80" s="43"/>
      <c r="I80" s="44"/>
      <c r="J80" s="43"/>
      <c r="L80" s="43"/>
      <c r="M80" s="43"/>
      <c r="N80" s="43"/>
      <c r="Q80" s="43"/>
      <c r="R80" s="43"/>
    </row>
    <row r="81" spans="2:18" x14ac:dyDescent="0.2">
      <c r="C81" s="24"/>
      <c r="H81" s="43"/>
      <c r="I81" s="44"/>
      <c r="J81" s="43"/>
      <c r="L81" s="43"/>
      <c r="M81" s="43"/>
      <c r="N81" s="43"/>
      <c r="Q81" s="43"/>
      <c r="R81" s="43"/>
    </row>
    <row r="82" spans="2:18" x14ac:dyDescent="0.2">
      <c r="C82" s="24"/>
      <c r="H82" s="43"/>
      <c r="I82" s="44"/>
      <c r="J82" s="43"/>
      <c r="L82" s="43"/>
      <c r="M82" s="43"/>
      <c r="N82" s="43"/>
      <c r="Q82" s="43"/>
      <c r="R82" s="43"/>
    </row>
    <row r="83" spans="2:18" x14ac:dyDescent="0.2">
      <c r="C83" s="24"/>
      <c r="H83" s="43"/>
      <c r="I83" s="44"/>
      <c r="J83" s="43"/>
      <c r="L83" s="43"/>
      <c r="M83" s="43"/>
      <c r="N83" s="43"/>
      <c r="Q83" s="43"/>
      <c r="R83" s="43"/>
    </row>
    <row r="84" spans="2:18" x14ac:dyDescent="0.2">
      <c r="C84" s="24"/>
      <c r="H84" s="43"/>
      <c r="I84" s="44"/>
      <c r="J84" s="43"/>
      <c r="L84" s="43"/>
      <c r="M84" s="43"/>
      <c r="N84" s="43"/>
      <c r="Q84" s="43"/>
      <c r="R84" s="43"/>
    </row>
    <row r="85" spans="2:18" x14ac:dyDescent="0.2">
      <c r="C85" s="24"/>
      <c r="H85" s="43"/>
      <c r="I85" s="44"/>
      <c r="J85" s="43"/>
      <c r="L85" s="43"/>
      <c r="M85" s="43"/>
      <c r="N85" s="43"/>
      <c r="Q85" s="43"/>
      <c r="R85" s="43"/>
    </row>
    <row r="86" spans="2:18" x14ac:dyDescent="0.2">
      <c r="C86" s="24"/>
      <c r="H86" s="43"/>
      <c r="I86" s="44"/>
      <c r="J86" s="43"/>
      <c r="L86" s="43"/>
      <c r="M86" s="43"/>
      <c r="N86" s="43"/>
      <c r="Q86" s="43"/>
      <c r="R86" s="43"/>
    </row>
    <row r="87" spans="2:18" x14ac:dyDescent="0.2">
      <c r="C87" s="24"/>
      <c r="H87" s="43"/>
      <c r="I87" s="44"/>
      <c r="J87" s="43"/>
      <c r="L87" s="43"/>
      <c r="M87" s="43"/>
      <c r="N87" s="43"/>
      <c r="Q87" s="43"/>
      <c r="R87" s="43"/>
    </row>
    <row r="88" spans="2:18" x14ac:dyDescent="0.2">
      <c r="C88" s="24"/>
      <c r="H88" s="43"/>
      <c r="I88" s="44"/>
      <c r="J88" s="43"/>
      <c r="L88" s="43"/>
      <c r="M88" s="43"/>
      <c r="N88" s="43"/>
      <c r="Q88" s="43"/>
      <c r="R88" s="43"/>
    </row>
    <row r="89" spans="2:18" x14ac:dyDescent="0.2">
      <c r="C89" s="24"/>
      <c r="H89" s="43"/>
      <c r="I89" s="44"/>
      <c r="J89" s="43"/>
      <c r="L89" s="43"/>
      <c r="M89" s="43"/>
      <c r="N89" s="43"/>
      <c r="Q89" s="43"/>
      <c r="R89" s="43"/>
    </row>
    <row r="90" spans="2:18" x14ac:dyDescent="0.2">
      <c r="C90" s="24"/>
      <c r="H90" s="43"/>
      <c r="I90" s="44"/>
      <c r="J90" s="43"/>
      <c r="L90" s="43"/>
      <c r="M90" s="43"/>
      <c r="N90" s="43"/>
      <c r="Q90" s="43"/>
      <c r="R90" s="43"/>
    </row>
    <row r="91" spans="2:18" x14ac:dyDescent="0.2">
      <c r="B91" s="24" t="str">
        <f>IF(Lang="Français","Textes pour les listes déroulantes et graphiques :",IF(Lang="English","Texts for drop-down lists &amp; graphics :",""))</f>
        <v>Textes pour les listes déroulantes et graphiques :</v>
      </c>
      <c r="H91" s="43"/>
      <c r="I91" s="44"/>
      <c r="J91" s="43"/>
      <c r="L91" s="43"/>
      <c r="M91" s="43"/>
      <c r="N91" s="43"/>
      <c r="Q91" s="43"/>
      <c r="R91" s="43"/>
    </row>
    <row r="92" spans="2:18" x14ac:dyDescent="0.2">
      <c r="H92" s="43"/>
      <c r="I92" s="44"/>
      <c r="J92" s="43"/>
      <c r="L92" s="43"/>
      <c r="M92" s="43"/>
      <c r="N92" s="43"/>
      <c r="Q92" s="43"/>
      <c r="R92" s="43"/>
    </row>
    <row r="93" spans="2:18" x14ac:dyDescent="0.2">
      <c r="B93" s="26" t="s">
        <v>1</v>
      </c>
      <c r="H93" s="43"/>
      <c r="I93" s="44"/>
      <c r="J93" s="43"/>
      <c r="L93" s="43"/>
      <c r="M93" s="43"/>
      <c r="N93" s="43"/>
      <c r="Q93" s="43"/>
      <c r="R93" s="43"/>
    </row>
    <row r="94" spans="2:18" x14ac:dyDescent="0.2">
      <c r="B94" s="26" t="s">
        <v>70</v>
      </c>
      <c r="H94" s="43"/>
      <c r="I94" s="44"/>
      <c r="J94" s="43"/>
      <c r="L94" s="43"/>
      <c r="M94" s="43"/>
      <c r="N94" s="43"/>
      <c r="Q94" s="43"/>
      <c r="R94" s="43"/>
    </row>
    <row r="95" spans="2:18" x14ac:dyDescent="0.2">
      <c r="B95" s="26"/>
      <c r="H95" s="43"/>
      <c r="I95" s="44"/>
      <c r="J95" s="43"/>
      <c r="L95" s="43"/>
      <c r="M95" s="43"/>
      <c r="N95" s="43"/>
      <c r="Q95" s="43"/>
      <c r="R95" s="43"/>
    </row>
    <row r="96" spans="2:18" x14ac:dyDescent="0.2">
      <c r="B96" s="26" t="str">
        <f>IF(Lang="Français","Fusée à eau  ",IF(Lang="English","Water-rocket  ",""))</f>
        <v xml:space="preserve">Fusée à eau  </v>
      </c>
      <c r="H96" s="43"/>
      <c r="I96" s="44"/>
      <c r="J96" s="43"/>
      <c r="L96" s="43"/>
      <c r="M96" s="43"/>
      <c r="N96" s="43"/>
      <c r="Q96" s="43"/>
      <c r="R96" s="43"/>
    </row>
    <row r="97" spans="2:18" x14ac:dyDescent="0.2">
      <c r="B97" s="26" t="str">
        <f>IF(Lang="Français","Microfusée",IF(Lang="English","Micro-rocket",""))</f>
        <v>Microfusée</v>
      </c>
      <c r="H97" s="43"/>
      <c r="I97" s="44"/>
      <c r="J97" s="43"/>
      <c r="L97" s="43"/>
      <c r="M97" s="43"/>
      <c r="N97" s="43"/>
      <c r="Q97" s="43"/>
      <c r="R97" s="43"/>
    </row>
    <row r="98" spans="2:18" x14ac:dyDescent="0.2">
      <c r="B98" s="26" t="str">
        <f>IF(Lang="Français","Minifusée",IF(Lang="English","Mini-rocket",""))</f>
        <v>Minifusée</v>
      </c>
      <c r="H98" s="43"/>
      <c r="I98" s="44"/>
      <c r="J98" s="43"/>
      <c r="L98" s="43"/>
      <c r="M98" s="43"/>
      <c r="N98" s="43"/>
      <c r="Q98" s="43"/>
      <c r="R98" s="43"/>
    </row>
    <row r="99" spans="2:18" x14ac:dyDescent="0.2">
      <c r="B99" s="26" t="s">
        <v>401</v>
      </c>
      <c r="H99" s="43"/>
      <c r="I99" s="44"/>
      <c r="J99" s="43"/>
      <c r="L99" s="43"/>
      <c r="M99" s="43"/>
      <c r="N99" s="43"/>
      <c r="Q99" s="43"/>
      <c r="R99" s="43"/>
    </row>
    <row r="100" spans="2:18" x14ac:dyDescent="0.2">
      <c r="B100" s="26" t="str">
        <f>IF(Lang="Français","Fusée expérimentale.",IF(Lang="English","Experimental Rocket.",""))</f>
        <v>Fusée expérimentale.</v>
      </c>
      <c r="H100" s="43"/>
      <c r="I100" s="44"/>
      <c r="J100" s="43"/>
      <c r="L100" s="43"/>
      <c r="M100" s="43"/>
      <c r="N100" s="43"/>
      <c r="Q100" s="43"/>
      <c r="R100" s="43"/>
    </row>
    <row r="101" spans="2:18" x14ac:dyDescent="0.2">
      <c r="B101" s="26" t="s">
        <v>402</v>
      </c>
      <c r="H101" s="43"/>
      <c r="I101" s="44"/>
      <c r="J101" s="43"/>
      <c r="L101" s="43"/>
      <c r="M101" s="43"/>
      <c r="N101" s="43"/>
      <c r="Q101" s="43"/>
      <c r="R101" s="43"/>
    </row>
    <row r="102" spans="2:18" x14ac:dyDescent="0.2">
      <c r="B102" s="26"/>
      <c r="H102" s="43"/>
      <c r="I102" s="44"/>
      <c r="J102" s="43"/>
      <c r="L102" s="43"/>
      <c r="M102" s="43"/>
      <c r="N102" s="43"/>
      <c r="Q102" s="43"/>
      <c r="R102" s="43"/>
    </row>
    <row r="103" spans="2:18" x14ac:dyDescent="0.2">
      <c r="B103" s="26" t="str">
        <f>IF(Lang="Français","sans propu",IF(Lang="English","without motor",""))</f>
        <v>sans propu</v>
      </c>
      <c r="H103" s="43"/>
      <c r="I103" s="44"/>
      <c r="J103" s="43"/>
      <c r="L103" s="43"/>
      <c r="M103" s="43"/>
      <c r="N103" s="43"/>
      <c r="Q103" s="43"/>
      <c r="R103" s="43"/>
    </row>
    <row r="104" spans="2:18" x14ac:dyDescent="0.2">
      <c r="B104" s="26" t="str">
        <f>IF(Lang="Français","avec propu vide",IF(Lang="English","with empty motor",""))</f>
        <v>avec propu vide</v>
      </c>
      <c r="H104" s="43"/>
      <c r="I104" s="44"/>
      <c r="J104" s="43"/>
      <c r="L104" s="43"/>
      <c r="M104" s="43"/>
      <c r="N104" s="43"/>
      <c r="Q104" s="43"/>
      <c r="R104" s="43"/>
    </row>
    <row r="105" spans="2:18" x14ac:dyDescent="0.2">
      <c r="B105" s="26" t="str">
        <f>IF(Lang="Français","avec propu plein",IF(Lang="English","with loaded motor",""))</f>
        <v>avec propu plein</v>
      </c>
      <c r="H105" s="43"/>
      <c r="I105" s="44"/>
      <c r="J105" s="43"/>
      <c r="L105" s="43"/>
      <c r="M105" s="43"/>
      <c r="N105" s="43"/>
      <c r="Q105" s="43"/>
      <c r="R105" s="43"/>
    </row>
    <row r="106" spans="2:18" x14ac:dyDescent="0.2">
      <c r="B106" s="26"/>
      <c r="H106" s="43"/>
      <c r="I106" s="44"/>
      <c r="J106" s="43"/>
      <c r="L106" s="43"/>
      <c r="M106" s="43"/>
      <c r="N106" s="43"/>
      <c r="Q106" s="43"/>
      <c r="R106" s="43"/>
    </row>
    <row r="107" spans="2:18" x14ac:dyDescent="0.2">
      <c r="B107" s="26" t="str">
        <f>IF(Lang="Français","Parabolique (arrondie)",IF(Lang="English","Parabola (rounded)",""))</f>
        <v>Parabolique (arrondie)</v>
      </c>
      <c r="H107" s="43"/>
      <c r="I107" s="44"/>
      <c r="J107" s="43"/>
      <c r="L107" s="43"/>
      <c r="M107" s="43"/>
      <c r="N107" s="43"/>
      <c r="Q107" s="43"/>
      <c r="R107" s="43"/>
    </row>
    <row r="108" spans="2:18" x14ac:dyDescent="0.2">
      <c r="B108" s="26" t="str">
        <f>IF(Lang="Français","Ogivale (pointue)",IF(Lang="English","Ogive (sharp)",""))</f>
        <v>Ogivale (pointue)</v>
      </c>
      <c r="H108" s="43"/>
      <c r="I108" s="44"/>
      <c r="J108" s="43"/>
      <c r="L108" s="43"/>
      <c r="M108" s="43"/>
      <c r="N108" s="43"/>
      <c r="Q108" s="43"/>
      <c r="R108" s="43"/>
    </row>
    <row r="109" spans="2:18" x14ac:dyDescent="0.2">
      <c r="B109" s="26" t="str">
        <f>IF(Lang="Français","Conique (droite)",IF(Lang="English","Cone (straight)",""))</f>
        <v>Conique (droite)</v>
      </c>
      <c r="H109" s="43"/>
      <c r="I109" s="44"/>
      <c r="J109" s="43"/>
      <c r="L109" s="43"/>
      <c r="M109" s="43"/>
      <c r="N109" s="43"/>
      <c r="Q109" s="43"/>
      <c r="R109" s="43"/>
    </row>
    <row r="110" spans="2:18" x14ac:dyDescent="0.2">
      <c r="B110" s="38"/>
      <c r="H110" s="43"/>
      <c r="I110" s="44"/>
      <c r="J110" s="43"/>
      <c r="L110" s="43"/>
      <c r="M110" s="43"/>
      <c r="N110" s="43"/>
      <c r="Q110" s="43"/>
      <c r="R110" s="43"/>
    </row>
    <row r="111" spans="2:18" x14ac:dyDescent="0.2">
      <c r="B111" s="38" t="s">
        <v>428</v>
      </c>
      <c r="H111" s="43"/>
      <c r="I111" s="44"/>
      <c r="J111" s="43"/>
      <c r="L111" s="43"/>
      <c r="M111" s="43"/>
      <c r="N111" s="43"/>
      <c r="Q111" s="43"/>
      <c r="R111" s="43"/>
    </row>
    <row r="112" spans="2:18" x14ac:dyDescent="0.2">
      <c r="B112" s="38" t="s">
        <v>429</v>
      </c>
      <c r="H112" s="43"/>
      <c r="I112" s="44"/>
      <c r="J112" s="43"/>
      <c r="L112" s="43"/>
      <c r="M112" s="43"/>
      <c r="N112" s="43"/>
      <c r="Q112" s="43"/>
      <c r="R112" s="43"/>
    </row>
    <row r="113" spans="2:18" x14ac:dyDescent="0.2">
      <c r="B113" s="38"/>
      <c r="H113" s="43"/>
      <c r="I113" s="44"/>
      <c r="J113" s="43"/>
      <c r="L113" s="43"/>
      <c r="M113" s="43"/>
      <c r="N113" s="43"/>
      <c r="Q113" s="43"/>
      <c r="R113" s="43"/>
    </row>
    <row r="114" spans="2:18" x14ac:dyDescent="0.2">
      <c r="B114" s="38" t="str">
        <f>IF(Lang="Français","Fusée mono-diamètre,",IF(Lang="English","Mono-diameter rocket,",""))</f>
        <v>Fusée mono-diamètre,</v>
      </c>
      <c r="H114" s="43"/>
      <c r="I114" s="44"/>
      <c r="J114" s="43"/>
      <c r="L114" s="43"/>
      <c r="M114" s="43"/>
      <c r="N114" s="43"/>
      <c r="Q114" s="43"/>
      <c r="R114" s="43"/>
    </row>
    <row r="115" spans="2:18" x14ac:dyDescent="0.2">
      <c r="B115" s="38" t="str">
        <f>IF(Lang="Français","Plusieurs diamètres.",IF(Lang="English","Many diameters rocket.",""))</f>
        <v>Plusieurs diamètres.</v>
      </c>
      <c r="H115" s="43"/>
      <c r="I115" s="44"/>
      <c r="J115" s="43"/>
      <c r="L115" s="43"/>
      <c r="M115" s="43"/>
      <c r="N115" s="43"/>
      <c r="Q115" s="43"/>
      <c r="R115" s="43"/>
    </row>
    <row r="116" spans="2:18" x14ac:dyDescent="0.2">
      <c r="B116" s="38"/>
      <c r="H116" s="43"/>
      <c r="I116" s="44"/>
      <c r="J116" s="43"/>
      <c r="L116" s="43"/>
      <c r="M116" s="43"/>
      <c r="N116" s="43"/>
      <c r="Q116" s="43"/>
      <c r="R116" s="43"/>
    </row>
    <row r="117" spans="2:18" x14ac:dyDescent="0.2">
      <c r="B117" s="223" t="str">
        <f>IF(Lang="Français","Diagramme des critères de stabilité","Stability criterions diagram")</f>
        <v>Diagramme des critères de stabilité</v>
      </c>
      <c r="H117" s="43"/>
      <c r="I117" s="44"/>
      <c r="J117" s="43"/>
      <c r="L117" s="43"/>
      <c r="M117" s="43"/>
      <c r="N117" s="43"/>
      <c r="Q117" s="43"/>
      <c r="R117" s="43"/>
    </row>
    <row r="118" spans="2:18" x14ac:dyDescent="0.2">
      <c r="B118" s="223" t="str">
        <f>IF(Lang="Français","Marge Statique (MS)","Static Margin")</f>
        <v>Marge Statique (MS)</v>
      </c>
      <c r="H118" s="43"/>
      <c r="I118" s="44"/>
      <c r="J118" s="43"/>
      <c r="L118" s="43"/>
      <c r="M118" s="43"/>
      <c r="N118" s="43"/>
      <c r="Q118" s="43"/>
      <c r="R118" s="43"/>
    </row>
    <row r="119" spans="2:18" x14ac:dyDescent="0.2">
      <c r="B119" s="223" t="str">
        <f>IF(Lang="Français","Portance Cnα","Lift Cnα")</f>
        <v>Portance Cnα</v>
      </c>
      <c r="H119" s="43"/>
      <c r="I119" s="44"/>
      <c r="J119" s="43"/>
      <c r="L119" s="43"/>
      <c r="M119" s="43"/>
      <c r="N119" s="43"/>
      <c r="Q119" s="43"/>
      <c r="R119" s="43"/>
    </row>
    <row r="120" spans="2:18" x14ac:dyDescent="0.2">
      <c r="B120" s="38"/>
      <c r="H120" s="43"/>
      <c r="I120" s="44"/>
      <c r="J120" s="43"/>
      <c r="L120" s="43"/>
      <c r="M120" s="43"/>
      <c r="N120" s="43"/>
      <c r="Q120" s="43"/>
      <c r="R120" s="43"/>
    </row>
    <row r="121" spans="2:18" x14ac:dyDescent="0.2">
      <c r="B121" s="24" t="str">
        <f>IF(Lang="Français","Données pour les graphiques :",IF(Lang="English","Data for plots:",""))</f>
        <v>Données pour les graphiques :</v>
      </c>
      <c r="H121" s="43"/>
      <c r="I121" s="44"/>
      <c r="J121" s="43"/>
      <c r="L121" s="43"/>
      <c r="M121" s="43"/>
      <c r="N121" s="43"/>
      <c r="Q121" s="43"/>
      <c r="R121" s="43"/>
    </row>
    <row r="122" spans="2:18" x14ac:dyDescent="0.2">
      <c r="H122" s="43"/>
      <c r="I122" s="44"/>
      <c r="J122" s="43"/>
      <c r="L122" s="43"/>
      <c r="M122" s="43"/>
      <c r="N122" s="43"/>
      <c r="Q122" s="43"/>
      <c r="R122" s="43"/>
    </row>
    <row r="123" spans="2:18" x14ac:dyDescent="0.2">
      <c r="B123" s="45"/>
      <c r="C123" s="45" t="s">
        <v>71</v>
      </c>
      <c r="D123" s="45" t="s">
        <v>72</v>
      </c>
      <c r="E123" s="92" t="s">
        <v>73</v>
      </c>
      <c r="K123" s="45"/>
      <c r="R123" s="43"/>
    </row>
    <row r="124" spans="2:18" x14ac:dyDescent="0.2">
      <c r="B124" s="45" t="s">
        <v>75</v>
      </c>
      <c r="C124" s="46">
        <f>-Long_ogive</f>
        <v>-200</v>
      </c>
      <c r="D124" s="46">
        <v>0</v>
      </c>
      <c r="E124" s="93">
        <f t="shared" ref="E124:E136" si="0">-D124</f>
        <v>0</v>
      </c>
      <c r="K124" s="46"/>
    </row>
    <row r="125" spans="2:18" x14ac:dyDescent="0.2">
      <c r="B125" s="45" t="s">
        <v>75</v>
      </c>
      <c r="C125" s="46">
        <f>-Long_ogive</f>
        <v>-200</v>
      </c>
      <c r="D125" s="46">
        <f>D_og/2</f>
        <v>42</v>
      </c>
      <c r="E125" s="93">
        <f t="shared" si="0"/>
        <v>-42</v>
      </c>
      <c r="K125" s="46"/>
    </row>
    <row r="126" spans="2:18" x14ac:dyDescent="0.2">
      <c r="B126" s="45" t="s">
        <v>76</v>
      </c>
      <c r="C126" s="46">
        <f>IF(AND(RIGHT(Nb_diam,1)=".",X_j), -X_j, C125 )</f>
        <v>-900</v>
      </c>
      <c r="D126" s="46">
        <f>IF(AND(RIGHT(Nb_diam,1)=".",X_j), D1j/2, D125 )</f>
        <v>42</v>
      </c>
      <c r="E126" s="93">
        <f t="shared" si="0"/>
        <v>-42</v>
      </c>
      <c r="K126" s="46"/>
    </row>
    <row r="127" spans="2:18" x14ac:dyDescent="0.2">
      <c r="B127" s="45" t="s">
        <v>77</v>
      </c>
      <c r="C127" s="46">
        <f>IF(AND(RIGHT(Nb_diam,1)=".",X_j), -X_j-l_j, C126 )</f>
        <v>-1050</v>
      </c>
      <c r="D127" s="46">
        <f>IF(AND(RIGHT(Nb_diam,1)=".",X_j), D2j/2, D126 )</f>
        <v>42</v>
      </c>
      <c r="E127" s="93">
        <f t="shared" si="0"/>
        <v>-42</v>
      </c>
      <c r="K127" s="46"/>
    </row>
    <row r="128" spans="2:18" x14ac:dyDescent="0.2">
      <c r="B128" s="45" t="s">
        <v>78</v>
      </c>
      <c r="C128" s="46">
        <f>IF(AND(RIGHT(Nb_diam,1)=".",X_r), -X_r, C127 )</f>
        <v>-1900</v>
      </c>
      <c r="D128" s="46">
        <f>IF(AND(RIGHT(Nb_diam,1)=".",X_r), D1r/2, D127 )</f>
        <v>42</v>
      </c>
      <c r="E128" s="93">
        <f t="shared" si="0"/>
        <v>-42</v>
      </c>
      <c r="K128" s="46"/>
    </row>
    <row r="129" spans="2:11" x14ac:dyDescent="0.2">
      <c r="B129" s="45" t="s">
        <v>79</v>
      </c>
      <c r="C129" s="46">
        <f>IF(AND(RIGHT(Nb_diam,1)=".",X_r), -X_r-l_r, C128 )</f>
        <v>-1950</v>
      </c>
      <c r="D129" s="46">
        <f>IF(AND(RIGHT(Nb_diam,1)=".",X_r), D2r/2, D128 )</f>
        <v>42</v>
      </c>
      <c r="E129" s="93">
        <f t="shared" si="0"/>
        <v>-42</v>
      </c>
      <c r="K129" s="46"/>
    </row>
    <row r="130" spans="2:11" x14ac:dyDescent="0.2">
      <c r="B130" s="45" t="s">
        <v>80</v>
      </c>
      <c r="C130" s="46">
        <f>-Long_tot</f>
        <v>-1950</v>
      </c>
      <c r="D130" s="46">
        <f>D129</f>
        <v>42</v>
      </c>
      <c r="E130" s="93">
        <f t="shared" si="0"/>
        <v>-42</v>
      </c>
      <c r="K130" s="46"/>
    </row>
    <row r="131" spans="2:11" x14ac:dyDescent="0.2">
      <c r="B131" s="45" t="s">
        <v>80</v>
      </c>
      <c r="C131" s="46">
        <f>-Long_tot</f>
        <v>-1950</v>
      </c>
      <c r="D131" s="46">
        <v>0</v>
      </c>
      <c r="E131" s="93">
        <f t="shared" si="0"/>
        <v>0</v>
      </c>
      <c r="K131" s="46"/>
    </row>
    <row r="132" spans="2:11" x14ac:dyDescent="0.2">
      <c r="B132" s="183" t="s">
        <v>81</v>
      </c>
      <c r="C132" s="197">
        <f>-X_ail+m_ail</f>
        <v>-1780</v>
      </c>
      <c r="D132" s="197">
        <f>D_ail/2</f>
        <v>42</v>
      </c>
      <c r="E132" s="198">
        <f t="shared" si="0"/>
        <v>-42</v>
      </c>
      <c r="K132" s="46"/>
    </row>
    <row r="133" spans="2:11" x14ac:dyDescent="0.2">
      <c r="B133" s="185" t="s">
        <v>82</v>
      </c>
      <c r="C133" s="46">
        <f>-X_ail+m_ail-p_ail</f>
        <v>-1820</v>
      </c>
      <c r="D133" s="46">
        <f>D_ail/2+E_ail</f>
        <v>182</v>
      </c>
      <c r="E133" s="199">
        <f t="shared" si="0"/>
        <v>-182</v>
      </c>
      <c r="K133" s="46"/>
    </row>
    <row r="134" spans="2:11" x14ac:dyDescent="0.2">
      <c r="B134" s="185" t="s">
        <v>83</v>
      </c>
      <c r="C134" s="46">
        <f>-X_ail+m_ail-p_ail-n_ail</f>
        <v>-2010</v>
      </c>
      <c r="D134" s="46">
        <f>D_ail/2+E_ail</f>
        <v>182</v>
      </c>
      <c r="E134" s="199">
        <f t="shared" si="0"/>
        <v>-182</v>
      </c>
      <c r="K134" s="46"/>
    </row>
    <row r="135" spans="2:11" x14ac:dyDescent="0.2">
      <c r="B135" s="185" t="s">
        <v>84</v>
      </c>
      <c r="C135" s="46">
        <f>-X_ail</f>
        <v>-1950</v>
      </c>
      <c r="D135" s="46">
        <f>D_ail/2</f>
        <v>42</v>
      </c>
      <c r="E135" s="199">
        <f t="shared" si="0"/>
        <v>-42</v>
      </c>
      <c r="K135" s="46"/>
    </row>
    <row r="136" spans="2:11" x14ac:dyDescent="0.2">
      <c r="B136" s="187" t="s">
        <v>81</v>
      </c>
      <c r="C136" s="200">
        <f>-X_ail+m_ail</f>
        <v>-1780</v>
      </c>
      <c r="D136" s="200">
        <f>D_ail/2</f>
        <v>42</v>
      </c>
      <c r="E136" s="201">
        <f t="shared" si="0"/>
        <v>-42</v>
      </c>
      <c r="K136" s="46"/>
    </row>
    <row r="137" spans="2:11" x14ac:dyDescent="0.2">
      <c r="B137" s="192" t="str">
        <f>IF(E_ail&gt;0,IF(Lang="Français","Envergure","Span"),"")</f>
        <v>Envergure</v>
      </c>
      <c r="C137" s="197">
        <f>MIN(-X_ail,-X_ail+m_ail-p_ail-n_ail)-Long_tot/30</f>
        <v>-2075</v>
      </c>
      <c r="D137" s="207">
        <f>-D_ail/2-E_ail</f>
        <v>-182</v>
      </c>
      <c r="E137" s="93"/>
      <c r="K137" s="46"/>
    </row>
    <row r="138" spans="2:11" x14ac:dyDescent="0.2">
      <c r="B138" s="195" t="s">
        <v>169</v>
      </c>
      <c r="C138" s="46">
        <f>MIN(-X_ail,-X_ail+m_ail-p_ail-n_ail)-Long_tot/30</f>
        <v>-2075</v>
      </c>
      <c r="D138" s="208">
        <f>-D_ail/2-E_ail/2</f>
        <v>-112</v>
      </c>
      <c r="E138" s="93"/>
      <c r="K138" s="46"/>
    </row>
    <row r="139" spans="2:11" x14ac:dyDescent="0.2">
      <c r="B139" s="212" t="s">
        <v>165</v>
      </c>
      <c r="C139" s="200">
        <f>MIN(-X_ail,-X_ail+m_ail-p_ail-n_ail)-Long_tot/30</f>
        <v>-2075</v>
      </c>
      <c r="D139" s="209">
        <f>-D_ail/2</f>
        <v>-42</v>
      </c>
      <c r="E139" s="93"/>
      <c r="K139" s="46"/>
    </row>
    <row r="140" spans="2:11" x14ac:dyDescent="0.2">
      <c r="B140" s="192" t="str">
        <f>IF(Lang="Français","Emplanture","Root edge")</f>
        <v>Emplanture</v>
      </c>
      <c r="C140" s="197">
        <f>-X_ail+m_ail</f>
        <v>-1780</v>
      </c>
      <c r="D140" s="207">
        <f>D_ail/2+E_ail+Long_tot/20</f>
        <v>279.5</v>
      </c>
      <c r="E140" s="93"/>
      <c r="K140" s="46"/>
    </row>
    <row r="141" spans="2:11" x14ac:dyDescent="0.2">
      <c r="B141" s="195" t="s">
        <v>171</v>
      </c>
      <c r="C141" s="46">
        <f>-X_ail+m_ail/2</f>
        <v>-1865</v>
      </c>
      <c r="D141" s="208">
        <f>D_ail/2+E_ail+Long_tot/20</f>
        <v>279.5</v>
      </c>
      <c r="E141" s="93"/>
      <c r="K141" s="46"/>
    </row>
    <row r="142" spans="2:11" x14ac:dyDescent="0.2">
      <c r="B142" s="212" t="s">
        <v>172</v>
      </c>
      <c r="C142" s="200">
        <f>-X_ail</f>
        <v>-1950</v>
      </c>
      <c r="D142" s="209">
        <f>D_ail/2+E_ail+Long_tot/20</f>
        <v>279.5</v>
      </c>
      <c r="E142" s="93"/>
      <c r="K142" s="46"/>
    </row>
    <row r="143" spans="2:11" x14ac:dyDescent="0.2">
      <c r="B143" s="192" t="str">
        <f>IF(p_ail&lt;&gt;0,IF(Lang="Français","Flèche","Offset"),"")</f>
        <v>Flèche</v>
      </c>
      <c r="C143" s="197">
        <f>-X_ail+m_ail</f>
        <v>-1780</v>
      </c>
      <c r="D143" s="207">
        <f>-D_ail/2-E_ail-Long_tot/30</f>
        <v>-247</v>
      </c>
      <c r="E143" s="93"/>
      <c r="K143" s="46"/>
    </row>
    <row r="144" spans="2:11" x14ac:dyDescent="0.2">
      <c r="B144" s="195" t="s">
        <v>168</v>
      </c>
      <c r="C144" s="46">
        <f>-X_ail+m_ail-p_ail/2</f>
        <v>-1800</v>
      </c>
      <c r="D144" s="208">
        <f>-D_ail/2-E_ail-Long_tot/30</f>
        <v>-247</v>
      </c>
      <c r="E144" s="93"/>
      <c r="K144" s="46"/>
    </row>
    <row r="145" spans="2:11" x14ac:dyDescent="0.2">
      <c r="B145" s="212" t="s">
        <v>166</v>
      </c>
      <c r="C145" s="200">
        <f>-X_ail+m_ail-p_ail</f>
        <v>-1820</v>
      </c>
      <c r="D145" s="209">
        <f>-D_ail/2-E_ail-Long_tot/30</f>
        <v>-247</v>
      </c>
      <c r="E145" s="93"/>
      <c r="K145" s="46"/>
    </row>
    <row r="146" spans="2:11" x14ac:dyDescent="0.2">
      <c r="B146" s="192" t="str">
        <f>IF(n_ail&gt;0,IF(Lang="Français","Saumon","Tip edge"),"")</f>
        <v>Saumon</v>
      </c>
      <c r="C146" s="197">
        <f>-X_ail+m_ail-p_ail</f>
        <v>-1820</v>
      </c>
      <c r="D146" s="207">
        <f>-D_ail/2-E_ail-Long_tot/20</f>
        <v>-279.5</v>
      </c>
      <c r="E146" s="93"/>
      <c r="K146" s="46"/>
    </row>
    <row r="147" spans="2:11" x14ac:dyDescent="0.2">
      <c r="B147" s="195" t="s">
        <v>170</v>
      </c>
      <c r="C147" s="46">
        <f>-X_ail+m_ail-p_ail-n_ail/2</f>
        <v>-1915</v>
      </c>
      <c r="D147" s="208">
        <f>-D_ail/2-E_ail-Long_tot/20</f>
        <v>-279.5</v>
      </c>
      <c r="E147" s="93"/>
      <c r="K147" s="46"/>
    </row>
    <row r="148" spans="2:11" x14ac:dyDescent="0.2">
      <c r="B148" s="212" t="s">
        <v>167</v>
      </c>
      <c r="C148" s="200">
        <f>-X_ail+m_ail-p_ail-n_ail</f>
        <v>-2010</v>
      </c>
      <c r="D148" s="209">
        <f>-D_ail/2-E_ail-Long_tot/20</f>
        <v>-279.5</v>
      </c>
      <c r="E148" s="93"/>
      <c r="K148" s="46"/>
    </row>
    <row r="149" spans="2:11" x14ac:dyDescent="0.2">
      <c r="B149" s="183" t="s">
        <v>85</v>
      </c>
      <c r="C149" s="197">
        <f ca="1">-XcgPlein</f>
        <v>-1128.7014613778706</v>
      </c>
      <c r="D149" s="207">
        <v>0</v>
      </c>
      <c r="E149" s="93"/>
      <c r="K149" s="46"/>
    </row>
    <row r="150" spans="2:11" x14ac:dyDescent="0.2">
      <c r="B150" s="187" t="s">
        <v>86</v>
      </c>
      <c r="C150" s="200">
        <f ca="1">-XcgVide</f>
        <v>-1029.6983094928478</v>
      </c>
      <c r="D150" s="209">
        <v>0</v>
      </c>
      <c r="E150" s="93"/>
      <c r="K150" s="46"/>
    </row>
    <row r="151" spans="2:11" x14ac:dyDescent="0.2">
      <c r="B151" s="183" t="s">
        <v>87</v>
      </c>
      <c r="C151" s="197">
        <f>-XCp</f>
        <v>-1304.2213785636345</v>
      </c>
      <c r="D151" s="207">
        <v>0</v>
      </c>
      <c r="E151" s="93"/>
      <c r="K151" s="46"/>
    </row>
    <row r="152" spans="2:11" x14ac:dyDescent="0.2">
      <c r="B152" s="187" t="s">
        <v>87</v>
      </c>
      <c r="C152" s="200">
        <f>-XCp</f>
        <v>-1304.2213785636345</v>
      </c>
      <c r="D152" s="209">
        <f>Cn*D_ref/CritCnmin</f>
        <v>170.16541700981773</v>
      </c>
      <c r="E152" s="93"/>
      <c r="K152" s="46"/>
    </row>
    <row r="153" spans="2:11" x14ac:dyDescent="0.2">
      <c r="B153" s="185" t="s">
        <v>426</v>
      </c>
      <c r="C153" s="46">
        <f>-XCp0</f>
        <v>-1415.6627423619341</v>
      </c>
      <c r="D153" s="208">
        <f>Cn0*D_ref/CritCnmin</f>
        <v>214.80885066551156</v>
      </c>
      <c r="E153" s="93"/>
      <c r="K153" s="46"/>
    </row>
    <row r="154" spans="2:11" x14ac:dyDescent="0.2">
      <c r="B154" s="185" t="s">
        <v>426</v>
      </c>
      <c r="C154" s="46">
        <f>-XCp0</f>
        <v>-1415.6627423619341</v>
      </c>
      <c r="D154" s="208">
        <v>0</v>
      </c>
      <c r="E154" s="93"/>
      <c r="K154" s="46"/>
    </row>
    <row r="155" spans="2:11" x14ac:dyDescent="0.2">
      <c r="B155" s="192" t="str">
        <f>IF(n_ail&gt;0,IF(Lang="Français","Marge Statique","Static Margin"),"")</f>
        <v>Marge Statique</v>
      </c>
      <c r="C155" s="197">
        <f ca="1">(-XcgPlein-XcgVide)/2</f>
        <v>-1079.1998854353592</v>
      </c>
      <c r="D155" s="207">
        <f>-D_ail/2-E_ail-Long_tot/20</f>
        <v>-279.5</v>
      </c>
      <c r="E155" s="93"/>
      <c r="K155" s="46"/>
    </row>
    <row r="156" spans="2:11" x14ac:dyDescent="0.2">
      <c r="B156" s="195" t="s">
        <v>173</v>
      </c>
      <c r="C156" s="46">
        <f ca="1">(C155+C157)/2</f>
        <v>-1191.7106319994969</v>
      </c>
      <c r="D156" s="208">
        <f>-D_ail/2-E_ail-Long_tot/20</f>
        <v>-279.5</v>
      </c>
      <c r="E156" s="93"/>
      <c r="K156" s="46"/>
    </row>
    <row r="157" spans="2:11" x14ac:dyDescent="0.2">
      <c r="B157" s="212" t="s">
        <v>174</v>
      </c>
      <c r="C157" s="200">
        <f>-XCp</f>
        <v>-1304.2213785636345</v>
      </c>
      <c r="D157" s="209">
        <f>-D_ail/2-E_ail-Long_tot/20</f>
        <v>-279.5</v>
      </c>
      <c r="E157" s="93"/>
      <c r="K157" s="46"/>
    </row>
    <row r="158" spans="2:11" x14ac:dyDescent="0.2">
      <c r="B158" s="183" t="s">
        <v>88</v>
      </c>
      <c r="C158" s="197">
        <f>IF(LEFT(Type_masquage,1)="M",0,-X_can+m_can)</f>
        <v>-720</v>
      </c>
      <c r="D158" s="197">
        <f>IF(LEFT(Type_masquage,1)="M",0,D_ail/2)</f>
        <v>42</v>
      </c>
      <c r="E158" s="198">
        <f t="shared" ref="E158:E167" si="1">-D158</f>
        <v>-42</v>
      </c>
      <c r="K158" s="46"/>
    </row>
    <row r="159" spans="2:11" x14ac:dyDescent="0.2">
      <c r="B159" s="185" t="s">
        <v>89</v>
      </c>
      <c r="C159" s="46">
        <f>IF(LEFT(Type_masquage,1)="M",0,-X_can+m_can-p_can)</f>
        <v>-850</v>
      </c>
      <c r="D159" s="46">
        <f>IF(LEFT(Type_masquage,1)="M",0,D_ail/2+E_can)</f>
        <v>152</v>
      </c>
      <c r="E159" s="199">
        <f t="shared" si="1"/>
        <v>-152</v>
      </c>
      <c r="K159" s="46"/>
    </row>
    <row r="160" spans="2:11" x14ac:dyDescent="0.2">
      <c r="B160" s="185" t="s">
        <v>90</v>
      </c>
      <c r="C160" s="46">
        <f>IF(LEFT(Type_masquage,1)="M",0,-X_can+m_can-p_can-n_can)</f>
        <v>-920</v>
      </c>
      <c r="D160" s="46">
        <f>IF(LEFT(Type_masquage,1)="M",0,D_ail/2+E_can)</f>
        <v>152</v>
      </c>
      <c r="E160" s="199">
        <f t="shared" si="1"/>
        <v>-152</v>
      </c>
      <c r="K160" s="46"/>
    </row>
    <row r="161" spans="2:11" x14ac:dyDescent="0.2">
      <c r="B161" s="185" t="s">
        <v>91</v>
      </c>
      <c r="C161" s="46">
        <f>IF(LEFT(Type_masquage,1)="M",0,-X_can)</f>
        <v>-850</v>
      </c>
      <c r="D161" s="46">
        <f>IF(LEFT(Type_masquage,1)="M",0,D_ail/2)</f>
        <v>42</v>
      </c>
      <c r="E161" s="199">
        <f t="shared" si="1"/>
        <v>-42</v>
      </c>
      <c r="K161" s="46"/>
    </row>
    <row r="162" spans="2:11" x14ac:dyDescent="0.2">
      <c r="B162" s="187" t="s">
        <v>88</v>
      </c>
      <c r="C162" s="200">
        <f>IF(LEFT(Type_masquage,1)="M",0,-X_can+m_can)</f>
        <v>-720</v>
      </c>
      <c r="D162" s="200">
        <f>IF(LEFT(Type_masquage,1)="M",0,D_ail/2)</f>
        <v>42</v>
      </c>
      <c r="E162" s="201">
        <f t="shared" si="1"/>
        <v>-42</v>
      </c>
      <c r="K162" s="46"/>
    </row>
    <row r="163" spans="2:11" x14ac:dyDescent="0.2">
      <c r="B163" s="183" t="s">
        <v>92</v>
      </c>
      <c r="C163" s="197">
        <f>IF(LEFT(Type_masquage,1)="B",-X_int+m_int,0)</f>
        <v>-1780</v>
      </c>
      <c r="D163" s="197">
        <f>IF(LEFT(Type_masquage,1)="B",D_int/2,0)</f>
        <v>42</v>
      </c>
      <c r="E163" s="198">
        <f t="shared" si="1"/>
        <v>-42</v>
      </c>
      <c r="K163" s="46"/>
    </row>
    <row r="164" spans="2:11" x14ac:dyDescent="0.2">
      <c r="B164" s="185" t="s">
        <v>93</v>
      </c>
      <c r="C164" s="46">
        <f>IF(LEFT(Type_masquage,1)="B",-X_int+m_int-p_int,0)</f>
        <v>-1811.4285714285713</v>
      </c>
      <c r="D164" s="46">
        <f>IF(LEFT(Type_masquage,1)="B",D_int/2+E_int,0)</f>
        <v>152</v>
      </c>
      <c r="E164" s="199">
        <f t="shared" si="1"/>
        <v>-152</v>
      </c>
      <c r="K164" s="46"/>
    </row>
    <row r="165" spans="2:11" x14ac:dyDescent="0.2">
      <c r="B165" s="185" t="s">
        <v>94</v>
      </c>
      <c r="C165" s="46">
        <f>IF(LEFT(Type_masquage,1)="B",-X_int+m_int-p_int-n_int,0)</f>
        <v>-1997.1428571428571</v>
      </c>
      <c r="D165" s="46">
        <f>IF(LEFT(Type_masquage,1)="B",D_int/2+E_int,0)</f>
        <v>152</v>
      </c>
      <c r="E165" s="199">
        <f t="shared" si="1"/>
        <v>-152</v>
      </c>
      <c r="K165" s="46"/>
    </row>
    <row r="166" spans="2:11" x14ac:dyDescent="0.2">
      <c r="B166" s="185" t="s">
        <v>95</v>
      </c>
      <c r="C166" s="46">
        <f>IF(LEFT(Type_masquage,1)="B",-X_int,0)</f>
        <v>-1950</v>
      </c>
      <c r="D166" s="46">
        <f>IF(LEFT(Type_masquage,1)="B",D_int/2,0)</f>
        <v>42</v>
      </c>
      <c r="E166" s="199">
        <f t="shared" si="1"/>
        <v>-42</v>
      </c>
      <c r="K166" s="46"/>
    </row>
    <row r="167" spans="2:11" x14ac:dyDescent="0.2">
      <c r="B167" s="187" t="s">
        <v>92</v>
      </c>
      <c r="C167" s="200">
        <f>IF(LEFT(Type_masquage,1)="B",-X_int+m_int,0)</f>
        <v>-1780</v>
      </c>
      <c r="D167" s="200">
        <f>IF(LEFT(Type_masquage,1)="B",D_int/2,0)</f>
        <v>42</v>
      </c>
      <c r="E167" s="201">
        <f t="shared" si="1"/>
        <v>-42</v>
      </c>
      <c r="K167" s="46"/>
    </row>
    <row r="168" spans="2:11" x14ac:dyDescent="0.2">
      <c r="B168" s="45" t="s">
        <v>96</v>
      </c>
      <c r="C168" s="46">
        <f>-MAX(Long_tot, X_ail-m_ail+p_ail+n_ail, (E_ail+D_ail/2)*3.2)*1.01</f>
        <v>-2030.1</v>
      </c>
      <c r="D168" s="46">
        <f>MAX(E_ail+D_ail/2, Long_tot/3)</f>
        <v>650</v>
      </c>
      <c r="E168" s="93"/>
      <c r="K168" s="46"/>
    </row>
    <row r="169" spans="2:11" x14ac:dyDescent="0.2">
      <c r="B169" s="45" t="s">
        <v>96</v>
      </c>
      <c r="C169" s="46">
        <f>C168</f>
        <v>-2030.1</v>
      </c>
      <c r="D169" s="46">
        <f>-D168</f>
        <v>-650</v>
      </c>
      <c r="E169" s="93"/>
      <c r="K169" s="46"/>
    </row>
    <row r="170" spans="2:11" x14ac:dyDescent="0.2">
      <c r="B170" s="183" t="s">
        <v>97</v>
      </c>
      <c r="C170" s="197">
        <f ca="1">-XpropuRef+Long_propu</f>
        <v>-1462</v>
      </c>
      <c r="D170" s="207">
        <f ca="1">-Diam_propu/2</f>
        <v>-27</v>
      </c>
      <c r="E170" s="93"/>
      <c r="K170" s="46"/>
    </row>
    <row r="171" spans="2:11" x14ac:dyDescent="0.2">
      <c r="B171" s="185" t="s">
        <v>98</v>
      </c>
      <c r="C171" s="46">
        <f ca="1">-XpropuRef+Long_propu</f>
        <v>-1462</v>
      </c>
      <c r="D171" s="208">
        <f ca="1">Diam_propu/2</f>
        <v>27</v>
      </c>
      <c r="E171" s="93"/>
      <c r="K171" s="46"/>
    </row>
    <row r="172" spans="2:11" x14ac:dyDescent="0.2">
      <c r="B172" s="185" t="s">
        <v>99</v>
      </c>
      <c r="C172" s="46">
        <f>-XpropuRef</f>
        <v>-1950</v>
      </c>
      <c r="D172" s="208">
        <f ca="1">Diam_propu/2</f>
        <v>27</v>
      </c>
      <c r="E172" s="93"/>
      <c r="K172" s="46"/>
    </row>
    <row r="173" spans="2:11" x14ac:dyDescent="0.2">
      <c r="B173" s="185" t="s">
        <v>100</v>
      </c>
      <c r="C173" s="46">
        <f>-XpropuRef</f>
        <v>-1950</v>
      </c>
      <c r="D173" s="208">
        <f ca="1">-Diam_propu/2</f>
        <v>-27</v>
      </c>
      <c r="E173" s="93"/>
      <c r="K173" s="46"/>
    </row>
    <row r="174" spans="2:11" x14ac:dyDescent="0.2">
      <c r="B174" s="187" t="s">
        <v>101</v>
      </c>
      <c r="C174" s="200">
        <f ca="1">-XpropuRef+Long_propu</f>
        <v>-1462</v>
      </c>
      <c r="D174" s="209">
        <f ca="1">-Diam_propu/2</f>
        <v>-27</v>
      </c>
      <c r="E174" s="93"/>
      <c r="F174" s="192" t="s">
        <v>162</v>
      </c>
      <c r="G174" s="193" t="s">
        <v>163</v>
      </c>
      <c r="H174" s="194" t="s">
        <v>164</v>
      </c>
      <c r="K174" s="46"/>
    </row>
    <row r="175" spans="2:11" x14ac:dyDescent="0.2">
      <c r="B175" s="183" t="s">
        <v>74</v>
      </c>
      <c r="C175" s="197">
        <v>0</v>
      </c>
      <c r="D175" s="197">
        <v>0</v>
      </c>
      <c r="E175" s="198">
        <f t="shared" ref="E175:E180" si="2">-D175</f>
        <v>0</v>
      </c>
      <c r="F175" s="195">
        <v>0</v>
      </c>
      <c r="G175" s="45">
        <v>0</v>
      </c>
      <c r="H175" s="189">
        <v>0</v>
      </c>
      <c r="K175" s="46"/>
    </row>
    <row r="176" spans="2:11" x14ac:dyDescent="0.2">
      <c r="B176" s="185" t="s">
        <v>75</v>
      </c>
      <c r="C176" s="46">
        <f>-Long_ogive*0.1</f>
        <v>-20</v>
      </c>
      <c r="D176" s="46">
        <f>IF(LEFT(Forme_ogive,5)="Parab",H176,IF(LEFT(Forme_ogive,4)="Ogiv",G176,IF(LEFT(Forme_ogive,3)="Con",F176)))</f>
        <v>4.2</v>
      </c>
      <c r="E176" s="199">
        <f t="shared" si="2"/>
        <v>-4.2</v>
      </c>
      <c r="F176" s="185">
        <f>D_og/2*0.1</f>
        <v>4.2</v>
      </c>
      <c r="G176" s="45">
        <f>D_og/2*0.2</f>
        <v>8.4</v>
      </c>
      <c r="H176" s="189">
        <f>D_og/2*0.5</f>
        <v>21</v>
      </c>
      <c r="K176" s="46"/>
    </row>
    <row r="177" spans="2:11" x14ac:dyDescent="0.2">
      <c r="B177" s="185" t="s">
        <v>75</v>
      </c>
      <c r="C177" s="46">
        <f>-Long_ogive/4</f>
        <v>-50</v>
      </c>
      <c r="D177" s="46">
        <f>IF(LEFT(Forme_ogive,5)="Parab",H177,IF(LEFT(Forme_ogive,4)="Ogiv",G177,IF(LEFT(Forme_ogive,3)="Con",F177)))</f>
        <v>10.5</v>
      </c>
      <c r="E177" s="199">
        <f t="shared" si="2"/>
        <v>-10.5</v>
      </c>
      <c r="F177" s="185">
        <f>D_og/2*1/4</f>
        <v>10.5</v>
      </c>
      <c r="G177" s="45">
        <f>D_og/2/2</f>
        <v>21</v>
      </c>
      <c r="H177" s="189">
        <f>D_og/2*0.7</f>
        <v>29.4</v>
      </c>
      <c r="K177" s="46"/>
    </row>
    <row r="178" spans="2:11" x14ac:dyDescent="0.2">
      <c r="B178" s="185" t="s">
        <v>75</v>
      </c>
      <c r="C178" s="46">
        <f>-Long_ogive/2</f>
        <v>-100</v>
      </c>
      <c r="D178" s="46">
        <f>IF(LEFT(Forme_ogive,5)="Parab",H178,IF(LEFT(Forme_ogive,4)="Ogiv",G178,IF(LEFT(Forme_ogive,3)="Con",F178)))</f>
        <v>21</v>
      </c>
      <c r="E178" s="199">
        <f t="shared" si="2"/>
        <v>-21</v>
      </c>
      <c r="F178" s="185">
        <f>D_og/2/2</f>
        <v>21</v>
      </c>
      <c r="G178" s="45">
        <f>D_og/2*3/4</f>
        <v>31.5</v>
      </c>
      <c r="H178" s="189">
        <f>D_og/2*0.88</f>
        <v>36.96</v>
      </c>
      <c r="K178" s="46"/>
    </row>
    <row r="179" spans="2:11" x14ac:dyDescent="0.2">
      <c r="B179" s="185" t="s">
        <v>75</v>
      </c>
      <c r="C179" s="46">
        <f>-Long_ogive*3/4</f>
        <v>-150</v>
      </c>
      <c r="D179" s="46">
        <f>IF(LEFT(Forme_ogive,5)="Parab",H179,IF(LEFT(Forme_ogive,4)="Ogiv",G179,IF(LEFT(Forme_ogive,3)="Con",F179)))</f>
        <v>31.5</v>
      </c>
      <c r="E179" s="199">
        <f t="shared" si="2"/>
        <v>-31.5</v>
      </c>
      <c r="F179" s="185">
        <f>D_og/2*3/4</f>
        <v>31.5</v>
      </c>
      <c r="G179" s="45">
        <f>D_og/2*0.9</f>
        <v>37.800000000000004</v>
      </c>
      <c r="H179" s="189">
        <f>D_og/2*0.95</f>
        <v>39.9</v>
      </c>
      <c r="K179" s="46"/>
    </row>
    <row r="180" spans="2:11" x14ac:dyDescent="0.2">
      <c r="B180" s="187" t="s">
        <v>75</v>
      </c>
      <c r="C180" s="200">
        <f>-Long_ogive</f>
        <v>-200</v>
      </c>
      <c r="D180" s="200">
        <f>D_og/2</f>
        <v>42</v>
      </c>
      <c r="E180" s="201">
        <f t="shared" si="2"/>
        <v>-42</v>
      </c>
      <c r="F180" s="187">
        <f>D_og/2</f>
        <v>42</v>
      </c>
      <c r="G180" s="196">
        <f>D_og/2</f>
        <v>42</v>
      </c>
      <c r="H180" s="190">
        <f>D_og/2</f>
        <v>42</v>
      </c>
      <c r="K180" s="26"/>
    </row>
    <row r="181" spans="2:11" x14ac:dyDescent="0.2">
      <c r="B181" s="45" t="s">
        <v>102</v>
      </c>
      <c r="C181" s="45" t="s">
        <v>103</v>
      </c>
      <c r="D181" s="183" t="s">
        <v>102</v>
      </c>
      <c r="E181" s="204" t="s">
        <v>103</v>
      </c>
      <c r="K181" s="45"/>
    </row>
    <row r="182" spans="2:11" x14ac:dyDescent="0.2">
      <c r="B182" s="183">
        <v>0</v>
      </c>
      <c r="C182" s="202">
        <f>CritCnmin</f>
        <v>15</v>
      </c>
      <c r="D182" s="185">
        <v>0.5</v>
      </c>
      <c r="E182" s="205">
        <f t="shared" ref="E182:E187" si="3">CritMsCnmin/D182</f>
        <v>80</v>
      </c>
      <c r="K182" s="45"/>
    </row>
    <row r="183" spans="2:11" x14ac:dyDescent="0.2">
      <c r="B183" s="187">
        <v>7</v>
      </c>
      <c r="C183" s="196">
        <f>CritCnmin</f>
        <v>15</v>
      </c>
      <c r="D183" s="185">
        <v>1</v>
      </c>
      <c r="E183" s="205">
        <f t="shared" si="3"/>
        <v>40</v>
      </c>
      <c r="K183" s="45"/>
    </row>
    <row r="184" spans="2:11" x14ac:dyDescent="0.2">
      <c r="B184" s="183">
        <v>0</v>
      </c>
      <c r="C184" s="202">
        <f>CritCnmax</f>
        <v>40</v>
      </c>
      <c r="D184" s="185">
        <v>2</v>
      </c>
      <c r="E184" s="205">
        <f t="shared" si="3"/>
        <v>20</v>
      </c>
      <c r="K184" s="45"/>
    </row>
    <row r="185" spans="2:11" x14ac:dyDescent="0.2">
      <c r="B185" s="187">
        <v>7</v>
      </c>
      <c r="C185" s="196">
        <f>CritCnmax</f>
        <v>40</v>
      </c>
      <c r="D185" s="185">
        <v>3</v>
      </c>
      <c r="E185" s="205">
        <f t="shared" si="3"/>
        <v>13.333333333333334</v>
      </c>
      <c r="K185" s="45"/>
    </row>
    <row r="186" spans="2:11" x14ac:dyDescent="0.2">
      <c r="B186" s="183">
        <f>CritMsmin</f>
        <v>2</v>
      </c>
      <c r="C186" s="202">
        <v>0</v>
      </c>
      <c r="D186" s="185">
        <v>5</v>
      </c>
      <c r="E186" s="205">
        <f t="shared" si="3"/>
        <v>8</v>
      </c>
      <c r="K186" s="45"/>
    </row>
    <row r="187" spans="2:11" x14ac:dyDescent="0.2">
      <c r="B187" s="187">
        <f>CritMsmin</f>
        <v>2</v>
      </c>
      <c r="C187" s="196">
        <v>55</v>
      </c>
      <c r="D187" s="185">
        <v>7</v>
      </c>
      <c r="E187" s="205">
        <f t="shared" si="3"/>
        <v>5.7142857142857144</v>
      </c>
      <c r="K187" s="45"/>
    </row>
    <row r="188" spans="2:11" x14ac:dyDescent="0.2">
      <c r="B188" s="183">
        <f>CritMsmax</f>
        <v>6</v>
      </c>
      <c r="C188" s="202">
        <v>0</v>
      </c>
      <c r="D188" s="185">
        <v>1</v>
      </c>
      <c r="E188" s="205">
        <f t="shared" ref="E188:E193" si="4">CritMsCnmax/D188</f>
        <v>100</v>
      </c>
      <c r="K188" s="45"/>
    </row>
    <row r="189" spans="2:11" x14ac:dyDescent="0.2">
      <c r="B189" s="187">
        <f>CritMsmax</f>
        <v>6</v>
      </c>
      <c r="C189" s="196">
        <v>55</v>
      </c>
      <c r="D189" s="185">
        <v>2</v>
      </c>
      <c r="E189" s="205">
        <f t="shared" si="4"/>
        <v>50</v>
      </c>
      <c r="K189" s="45"/>
    </row>
    <row r="190" spans="2:11" x14ac:dyDescent="0.2">
      <c r="B190" s="191">
        <f ca="1">MS_min</f>
        <v>2.0895228236400465</v>
      </c>
      <c r="C190" s="203">
        <f>Cn</f>
        <v>30.386681608896026</v>
      </c>
      <c r="D190" s="185">
        <v>3</v>
      </c>
      <c r="E190" s="205">
        <f t="shared" si="4"/>
        <v>33.333333333333336</v>
      </c>
      <c r="K190" s="45"/>
    </row>
    <row r="191" spans="2:11" x14ac:dyDescent="0.2">
      <c r="B191" s="514">
        <f ca="1">(XCp0-XcgPlein)/D_ref</f>
        <v>3.4162057260007557</v>
      </c>
      <c r="C191" s="515">
        <f>Cn0</f>
        <v>38.35872333312706</v>
      </c>
      <c r="D191" s="185">
        <v>4</v>
      </c>
      <c r="E191" s="205">
        <f t="shared" si="4"/>
        <v>25</v>
      </c>
      <c r="K191" s="45"/>
    </row>
    <row r="192" spans="2:11" x14ac:dyDescent="0.2">
      <c r="B192" s="514">
        <f ca="1">(XCp0-XcgVide)/D_ref</f>
        <v>4.5948146770129323</v>
      </c>
      <c r="C192" s="515">
        <f>Cn0</f>
        <v>38.35872333312706</v>
      </c>
      <c r="D192" s="185">
        <v>6</v>
      </c>
      <c r="E192" s="205">
        <f t="shared" si="4"/>
        <v>16.666666666666668</v>
      </c>
      <c r="K192" s="45"/>
    </row>
    <row r="193" spans="2:11" x14ac:dyDescent="0.2">
      <c r="B193" s="514">
        <f ca="1">(XCp-XcgVide)/D_ref</f>
        <v>3.2681317746522232</v>
      </c>
      <c r="C193" s="515">
        <f>Cn</f>
        <v>30.386681608896026</v>
      </c>
      <c r="D193" s="187">
        <v>7</v>
      </c>
      <c r="E193" s="206">
        <f t="shared" si="4"/>
        <v>14.285714285714286</v>
      </c>
      <c r="K193" s="45"/>
    </row>
    <row r="194" spans="2:11" x14ac:dyDescent="0.2">
      <c r="B194" s="514">
        <f ca="1">MS_min</f>
        <v>2.0895228236400465</v>
      </c>
      <c r="C194" s="516">
        <f>Cn</f>
        <v>30.386681608896026</v>
      </c>
      <c r="D194" s="45"/>
      <c r="E194" s="92"/>
      <c r="K194" s="45"/>
    </row>
    <row r="195" spans="2:11" x14ac:dyDescent="0.2">
      <c r="B195" s="183">
        <v>0</v>
      </c>
      <c r="C195" s="202">
        <f>(CritCnmin+CritCnmax)/2</f>
        <v>27.5</v>
      </c>
      <c r="D195" s="26"/>
      <c r="E195" s="90"/>
      <c r="K195" s="26"/>
    </row>
    <row r="196" spans="2:11" x14ac:dyDescent="0.2">
      <c r="B196" s="185">
        <f>MAX(CritMsmin,CritMsCnmin/C196)</f>
        <v>2</v>
      </c>
      <c r="C196" s="45">
        <f>(CritCnmin+CritCnmax)/2</f>
        <v>27.5</v>
      </c>
      <c r="D196" s="26"/>
      <c r="E196" s="90"/>
      <c r="K196" s="26"/>
    </row>
    <row r="197" spans="2:11" x14ac:dyDescent="0.2">
      <c r="B197" s="185">
        <f>MIN(CritMsmax,CritMsCnmax/C197)</f>
        <v>3.6363636363636362</v>
      </c>
      <c r="C197" s="189">
        <f>(CritCnmin+CritCnmax)/2</f>
        <v>27.5</v>
      </c>
    </row>
    <row r="198" spans="2:11" x14ac:dyDescent="0.2">
      <c r="B198" s="187">
        <v>7</v>
      </c>
      <c r="C198" s="190">
        <f>(CritCnmin+CritCnmax)/2</f>
        <v>27.5</v>
      </c>
    </row>
    <row r="199" spans="2:11" x14ac:dyDescent="0.2">
      <c r="B199" s="183">
        <f>(CritMsmin+CritMsmax)/2</f>
        <v>4</v>
      </c>
      <c r="C199" s="184">
        <v>0</v>
      </c>
    </row>
    <row r="200" spans="2:11" x14ac:dyDescent="0.2">
      <c r="B200" s="185">
        <f>(CritMsmin+CritMsmax)/2</f>
        <v>4</v>
      </c>
      <c r="C200" s="186">
        <f>MAX(CritCnmin,CritMsCnmin/B200)</f>
        <v>15</v>
      </c>
    </row>
    <row r="201" spans="2:11" x14ac:dyDescent="0.2">
      <c r="B201" s="185">
        <f>(CritMsmin+CritMsmax)/2</f>
        <v>4</v>
      </c>
      <c r="C201" s="186">
        <f>MIN(CritCnmax,CritMsCnmax/B201)</f>
        <v>25</v>
      </c>
    </row>
    <row r="202" spans="2:11" x14ac:dyDescent="0.2">
      <c r="B202" s="187">
        <f>(CritMsmin+CritMsmax)/2</f>
        <v>4</v>
      </c>
      <c r="C202" s="188">
        <v>55</v>
      </c>
    </row>
    <row r="203" spans="2:11" x14ac:dyDescent="0.2">
      <c r="D203" s="475"/>
    </row>
    <row r="204" spans="2:11" x14ac:dyDescent="0.2">
      <c r="B204" s="477" t="s">
        <v>409</v>
      </c>
      <c r="C204" s="31" t="b">
        <f ca="1">(OR(C205:C210))</f>
        <v>1</v>
      </c>
      <c r="D204" s="475"/>
    </row>
    <row r="205" spans="2:11" x14ac:dyDescent="0.2">
      <c r="B205" s="476" t="s">
        <v>406</v>
      </c>
      <c r="C205" s="475" t="b">
        <f ca="1">AND(Type_propu="H2O",RIGHT(Type_fusee,1)=" ")</f>
        <v>0</v>
      </c>
      <c r="D205" s="475"/>
    </row>
    <row r="206" spans="2:11" x14ac:dyDescent="0.2">
      <c r="B206" s="476" t="s">
        <v>121</v>
      </c>
      <c r="C206" s="475" t="b">
        <f ca="1">AND(Type_propu="Fusex",RIGHT(Type_fusee,1)=".")</f>
        <v>1</v>
      </c>
      <c r="D206" s="475"/>
    </row>
    <row r="207" spans="2:11" x14ac:dyDescent="0.2">
      <c r="B207" s="476" t="s">
        <v>407</v>
      </c>
      <c r="C207" s="475" t="b">
        <f ca="1">LEFT(Type_propu,5)=LEFT(Type_fusee,5)</f>
        <v>0</v>
      </c>
      <c r="D207" s="475"/>
    </row>
    <row r="208" spans="2:11" x14ac:dyDescent="0.2">
      <c r="B208" s="476" t="s">
        <v>408</v>
      </c>
      <c r="C208" s="475" t="b">
        <f ca="1">AND(RIGHT(Type_propu,1)="N",LEFT(Type_fusee,4)="Mini")</f>
        <v>0</v>
      </c>
      <c r="D208" s="475"/>
    </row>
    <row r="209" spans="1:3" x14ac:dyDescent="0.2">
      <c r="B209" s="476" t="s">
        <v>410</v>
      </c>
      <c r="C209" s="475" t="b">
        <f ca="1">AND(LEFT(Type_propu,5)="MiniR",LEFT(Type_fusee,1)="R")</f>
        <v>0</v>
      </c>
    </row>
    <row r="210" spans="1:3" x14ac:dyDescent="0.2">
      <c r="B210" s="476" t="s">
        <v>400</v>
      </c>
      <c r="C210" s="475" t="b">
        <f ca="1">AND(LEFT(Type_propu,4)="Mini",LEFT(Type_fusee,1)=",")</f>
        <v>0</v>
      </c>
    </row>
    <row r="223" spans="1:3" x14ac:dyDescent="0.2">
      <c r="A223" s="24" t="s">
        <v>467</v>
      </c>
    </row>
    <row r="226" spans="1:1" x14ac:dyDescent="0.2">
      <c r="A226" s="24" t="s">
        <v>480</v>
      </c>
    </row>
    <row r="228" spans="1:1" x14ac:dyDescent="0.2">
      <c r="A228" s="24" t="s">
        <v>481</v>
      </c>
    </row>
    <row r="230" spans="1:1" x14ac:dyDescent="0.2">
      <c r="A230" s="24" t="s">
        <v>482</v>
      </c>
    </row>
    <row r="232" spans="1:1" x14ac:dyDescent="0.2">
      <c r="A232" s="24" t="s">
        <v>483</v>
      </c>
    </row>
    <row r="233" spans="1:1" x14ac:dyDescent="0.2">
      <c r="A233" s="24" t="s">
        <v>484</v>
      </c>
    </row>
    <row r="234" spans="1:1" x14ac:dyDescent="0.2">
      <c r="A234" s="24" t="s">
        <v>485</v>
      </c>
    </row>
    <row r="235" spans="1:1" x14ac:dyDescent="0.2">
      <c r="A235" s="24" t="s">
        <v>486</v>
      </c>
    </row>
    <row r="236" spans="1:1" x14ac:dyDescent="0.2">
      <c r="A236" s="24" t="s">
        <v>487</v>
      </c>
    </row>
    <row r="237" spans="1:1" x14ac:dyDescent="0.2">
      <c r="A237" s="24" t="s">
        <v>488</v>
      </c>
    </row>
    <row r="238" spans="1:1" x14ac:dyDescent="0.2">
      <c r="A238" s="24" t="s">
        <v>186</v>
      </c>
    </row>
    <row r="239" spans="1:1" x14ac:dyDescent="0.2">
      <c r="A239" s="24" t="s">
        <v>489</v>
      </c>
    </row>
    <row r="240" spans="1:1" x14ac:dyDescent="0.2">
      <c r="A240" s="24" t="s">
        <v>490</v>
      </c>
    </row>
    <row r="241" spans="1:1" x14ac:dyDescent="0.2">
      <c r="A241" s="24" t="s">
        <v>186</v>
      </c>
    </row>
    <row r="242" spans="1:1" x14ac:dyDescent="0.2">
      <c r="A242" s="24" t="s">
        <v>491</v>
      </c>
    </row>
    <row r="244" spans="1:1" x14ac:dyDescent="0.2">
      <c r="A244" s="24" t="s">
        <v>492</v>
      </c>
    </row>
    <row r="246" spans="1:1" x14ac:dyDescent="0.2">
      <c r="A246" s="24" t="s">
        <v>493</v>
      </c>
    </row>
    <row r="248" spans="1:1" x14ac:dyDescent="0.2">
      <c r="A248" s="24" t="s">
        <v>494</v>
      </c>
    </row>
    <row r="249" spans="1:1" x14ac:dyDescent="0.2">
      <c r="A249" s="24" t="s">
        <v>495</v>
      </c>
    </row>
    <row r="250" spans="1:1" x14ac:dyDescent="0.2">
      <c r="A250" s="24" t="s">
        <v>496</v>
      </c>
    </row>
    <row r="251" spans="1:1" x14ac:dyDescent="0.2">
      <c r="A251" s="24" t="s">
        <v>497</v>
      </c>
    </row>
    <row r="252" spans="1:1" x14ac:dyDescent="0.2">
      <c r="A252" s="24" t="s">
        <v>498</v>
      </c>
    </row>
    <row r="254" spans="1:1" x14ac:dyDescent="0.2">
      <c r="A254" s="24" t="s">
        <v>499</v>
      </c>
    </row>
    <row r="255" spans="1:1" x14ac:dyDescent="0.2">
      <c r="A255" s="24" t="s">
        <v>500</v>
      </c>
    </row>
    <row r="256" spans="1:1" x14ac:dyDescent="0.2">
      <c r="A256" s="24" t="s">
        <v>501</v>
      </c>
    </row>
    <row r="257" spans="1:1" x14ac:dyDescent="0.2">
      <c r="A257" s="24" t="s">
        <v>502</v>
      </c>
    </row>
    <row r="258" spans="1:1" x14ac:dyDescent="0.2">
      <c r="A258" s="24" t="s">
        <v>503</v>
      </c>
    </row>
    <row r="261" spans="1:1" x14ac:dyDescent="0.2">
      <c r="A261" s="24" t="s">
        <v>504</v>
      </c>
    </row>
    <row r="262" spans="1:1" x14ac:dyDescent="0.2">
      <c r="A262" s="24" t="s">
        <v>505</v>
      </c>
    </row>
    <row r="263" spans="1:1" x14ac:dyDescent="0.2">
      <c r="A263" s="24" t="s">
        <v>506</v>
      </c>
    </row>
    <row r="264" spans="1:1" x14ac:dyDescent="0.2">
      <c r="A264" s="24" t="s">
        <v>507</v>
      </c>
    </row>
    <row r="265" spans="1:1" x14ac:dyDescent="0.2">
      <c r="A265" s="24" t="s">
        <v>508</v>
      </c>
    </row>
    <row r="267" spans="1:1" x14ac:dyDescent="0.2">
      <c r="A267" s="24" t="s">
        <v>501</v>
      </c>
    </row>
    <row r="268" spans="1:1" x14ac:dyDescent="0.2">
      <c r="A268" s="24" t="s">
        <v>502</v>
      </c>
    </row>
    <row r="269" spans="1:1" x14ac:dyDescent="0.2">
      <c r="A269" s="24" t="s">
        <v>509</v>
      </c>
    </row>
    <row r="272" spans="1:1" x14ac:dyDescent="0.2">
      <c r="A272" s="24" t="s">
        <v>469</v>
      </c>
    </row>
    <row r="273" spans="1:1" x14ac:dyDescent="0.2">
      <c r="A273" s="24" t="s">
        <v>470</v>
      </c>
    </row>
    <row r="275" spans="1:1" x14ac:dyDescent="0.2">
      <c r="A275" s="24" t="s">
        <v>510</v>
      </c>
    </row>
    <row r="277" spans="1:1" x14ac:dyDescent="0.2">
      <c r="A277" s="24" t="s">
        <v>509</v>
      </c>
    </row>
    <row r="280" spans="1:1" x14ac:dyDescent="0.2">
      <c r="A280" s="24" t="s">
        <v>471</v>
      </c>
    </row>
    <row r="281" spans="1:1" x14ac:dyDescent="0.2">
      <c r="A281" s="24" t="s">
        <v>472</v>
      </c>
    </row>
    <row r="282" spans="1:1" x14ac:dyDescent="0.2">
      <c r="A282" s="24" t="s">
        <v>511</v>
      </c>
    </row>
    <row r="283" spans="1:1" x14ac:dyDescent="0.2">
      <c r="A283" s="24" t="s">
        <v>512</v>
      </c>
    </row>
    <row r="284" spans="1:1" x14ac:dyDescent="0.2">
      <c r="A284" s="24" t="s">
        <v>509</v>
      </c>
    </row>
    <row r="285" spans="1:1" x14ac:dyDescent="0.2">
      <c r="A285" s="24" t="s">
        <v>473</v>
      </c>
    </row>
    <row r="287" spans="1:1" x14ac:dyDescent="0.2">
      <c r="A287" s="24" t="s">
        <v>513</v>
      </c>
    </row>
    <row r="288" spans="1:1" x14ac:dyDescent="0.2">
      <c r="A288" s="24" t="s">
        <v>511</v>
      </c>
    </row>
    <row r="289" spans="1:1" x14ac:dyDescent="0.2">
      <c r="A289" s="24" t="s">
        <v>514</v>
      </c>
    </row>
    <row r="291" spans="1:1" x14ac:dyDescent="0.2">
      <c r="A291" s="24" t="s">
        <v>509</v>
      </c>
    </row>
    <row r="294" spans="1:1" x14ac:dyDescent="0.2">
      <c r="A294" s="24" t="s">
        <v>515</v>
      </c>
    </row>
    <row r="295" spans="1:1" x14ac:dyDescent="0.2">
      <c r="A295" s="24" t="s">
        <v>516</v>
      </c>
    </row>
    <row r="296" spans="1:1" x14ac:dyDescent="0.2">
      <c r="A296" s="24" t="s">
        <v>517</v>
      </c>
    </row>
    <row r="298" spans="1:1" x14ac:dyDescent="0.2">
      <c r="A298" s="24" t="s">
        <v>509</v>
      </c>
    </row>
    <row r="301" spans="1:1" x14ac:dyDescent="0.2">
      <c r="A301" s="24" t="s">
        <v>518</v>
      </c>
    </row>
    <row r="302" spans="1:1" x14ac:dyDescent="0.2">
      <c r="A302" s="24" t="s">
        <v>519</v>
      </c>
    </row>
    <row r="304" spans="1:1" x14ac:dyDescent="0.2">
      <c r="A304" s="24" t="s">
        <v>520</v>
      </c>
    </row>
    <row r="305" spans="1:1" x14ac:dyDescent="0.2">
      <c r="A305" s="24" t="s">
        <v>521</v>
      </c>
    </row>
    <row r="306" spans="1:1" x14ac:dyDescent="0.2">
      <c r="A306" s="24" t="s">
        <v>509</v>
      </c>
    </row>
    <row r="309" spans="1:1" x14ac:dyDescent="0.2">
      <c r="A309" s="24" t="s">
        <v>518</v>
      </c>
    </row>
    <row r="310" spans="1:1" x14ac:dyDescent="0.2">
      <c r="A310" s="24" t="s">
        <v>522</v>
      </c>
    </row>
    <row r="311" spans="1:1" x14ac:dyDescent="0.2">
      <c r="A311" s="24" t="s">
        <v>518</v>
      </c>
    </row>
    <row r="312" spans="1:1" x14ac:dyDescent="0.2">
      <c r="A312" s="24" t="s">
        <v>523</v>
      </c>
    </row>
    <row r="314" spans="1:1" x14ac:dyDescent="0.2">
      <c r="A314" s="24" t="s">
        <v>524</v>
      </c>
    </row>
    <row r="316" spans="1:1" x14ac:dyDescent="0.2">
      <c r="A316" s="24" t="s">
        <v>509</v>
      </c>
    </row>
    <row r="319" spans="1:1" x14ac:dyDescent="0.2">
      <c r="A319" s="24" t="s">
        <v>518</v>
      </c>
    </row>
    <row r="320" spans="1:1" x14ac:dyDescent="0.2">
      <c r="A320" s="24" t="s">
        <v>525</v>
      </c>
    </row>
    <row r="321" spans="1:1" x14ac:dyDescent="0.2">
      <c r="A321" s="24" t="s">
        <v>526</v>
      </c>
    </row>
    <row r="322" spans="1:1" x14ac:dyDescent="0.2">
      <c r="A322" s="24" t="s">
        <v>527</v>
      </c>
    </row>
    <row r="324" spans="1:1" x14ac:dyDescent="0.2">
      <c r="A324" s="24" t="s">
        <v>509</v>
      </c>
    </row>
    <row r="326" spans="1:1" x14ac:dyDescent="0.2">
      <c r="A326" s="24" t="s">
        <v>468</v>
      </c>
    </row>
    <row r="329" spans="1:1" x14ac:dyDescent="0.2">
      <c r="A329" s="24" t="s">
        <v>474</v>
      </c>
    </row>
    <row r="330" spans="1:1" x14ac:dyDescent="0.2">
      <c r="A330" s="24" t="s">
        <v>475</v>
      </c>
    </row>
    <row r="331" spans="1:1" x14ac:dyDescent="0.2">
      <c r="A331" s="24" t="s">
        <v>528</v>
      </c>
    </row>
    <row r="332" spans="1:1" x14ac:dyDescent="0.2">
      <c r="A332" s="24" t="s">
        <v>529</v>
      </c>
    </row>
    <row r="333" spans="1:1" x14ac:dyDescent="0.2">
      <c r="A333" s="24" t="s">
        <v>530</v>
      </c>
    </row>
    <row r="334" spans="1:1" x14ac:dyDescent="0.2">
      <c r="A334" s="24" t="s">
        <v>531</v>
      </c>
    </row>
    <row r="335" spans="1:1" x14ac:dyDescent="0.2">
      <c r="A335" s="24" t="s">
        <v>532</v>
      </c>
    </row>
    <row r="336" spans="1:1" x14ac:dyDescent="0.2">
      <c r="A336" s="24" t="s">
        <v>485</v>
      </c>
    </row>
    <row r="337" spans="1:1" x14ac:dyDescent="0.2">
      <c r="A337" s="24" t="s">
        <v>476</v>
      </c>
    </row>
    <row r="340" spans="1:1" x14ac:dyDescent="0.2">
      <c r="A340" s="24" t="s">
        <v>477</v>
      </c>
    </row>
    <row r="342" spans="1:1" x14ac:dyDescent="0.2">
      <c r="A342" s="24" t="s">
        <v>533</v>
      </c>
    </row>
    <row r="343" spans="1:1" x14ac:dyDescent="0.2">
      <c r="A343" s="24" t="s">
        <v>534</v>
      </c>
    </row>
    <row r="344" spans="1:1" x14ac:dyDescent="0.2">
      <c r="A344" s="24" t="s">
        <v>535</v>
      </c>
    </row>
    <row r="345" spans="1:1" x14ac:dyDescent="0.2">
      <c r="A345" s="24" t="s">
        <v>536</v>
      </c>
    </row>
    <row r="346" spans="1:1" x14ac:dyDescent="0.2">
      <c r="A346" s="24" t="s">
        <v>537</v>
      </c>
    </row>
    <row r="347" spans="1:1" x14ac:dyDescent="0.2">
      <c r="A347" s="24" t="s">
        <v>485</v>
      </c>
    </row>
    <row r="348" spans="1:1" x14ac:dyDescent="0.2">
      <c r="A348" s="24" t="s">
        <v>478</v>
      </c>
    </row>
    <row r="349" spans="1:1" x14ac:dyDescent="0.2">
      <c r="A349" s="24" t="s">
        <v>538</v>
      </c>
    </row>
    <row r="350" spans="1:1" x14ac:dyDescent="0.2">
      <c r="A350" s="24" t="s">
        <v>539</v>
      </c>
    </row>
    <row r="352" spans="1:1" x14ac:dyDescent="0.2">
      <c r="A352" s="24" t="s">
        <v>509</v>
      </c>
    </row>
    <row r="355" spans="1:1" x14ac:dyDescent="0.2">
      <c r="A355" s="24" t="s">
        <v>468</v>
      </c>
    </row>
    <row r="361" spans="1:1" x14ac:dyDescent="0.2">
      <c r="A361" s="24" t="s">
        <v>479</v>
      </c>
    </row>
  </sheetData>
  <sheetProtection password="C6AC" sheet="1"/>
  <dataConsolidate/>
  <mergeCells count="56">
    <mergeCell ref="C5:D5"/>
    <mergeCell ref="H26:I26"/>
    <mergeCell ref="C16:D16"/>
    <mergeCell ref="C17:D17"/>
    <mergeCell ref="O21:P21"/>
    <mergeCell ref="M21:N21"/>
    <mergeCell ref="O19:P19"/>
    <mergeCell ref="O22:P22"/>
    <mergeCell ref="C20:D20"/>
    <mergeCell ref="C6:D6"/>
    <mergeCell ref="C14:D14"/>
    <mergeCell ref="C26:D26"/>
    <mergeCell ref="C19:D19"/>
    <mergeCell ref="O23:P23"/>
    <mergeCell ref="O24:P24"/>
    <mergeCell ref="C22:D22"/>
    <mergeCell ref="C2:D3"/>
    <mergeCell ref="C4:D4"/>
    <mergeCell ref="M22:N22"/>
    <mergeCell ref="M19:N19"/>
    <mergeCell ref="M9:N9"/>
    <mergeCell ref="M7:N7"/>
    <mergeCell ref="M8:N8"/>
    <mergeCell ref="C7:D7"/>
    <mergeCell ref="C10:D10"/>
    <mergeCell ref="C13:D13"/>
    <mergeCell ref="C8:D8"/>
    <mergeCell ref="C9:D9"/>
    <mergeCell ref="M20:N20"/>
    <mergeCell ref="N14:O14"/>
    <mergeCell ref="N15:O15"/>
    <mergeCell ref="C18:D18"/>
    <mergeCell ref="C21:D21"/>
    <mergeCell ref="C23:D23"/>
    <mergeCell ref="O20:P20"/>
    <mergeCell ref="M23:N23"/>
    <mergeCell ref="M24:N24"/>
    <mergeCell ref="M4:P4"/>
    <mergeCell ref="M2:P2"/>
    <mergeCell ref="N13:O13"/>
    <mergeCell ref="N12:O12"/>
    <mergeCell ref="O9:P9"/>
    <mergeCell ref="O8:P8"/>
    <mergeCell ref="O7:P7"/>
    <mergeCell ref="M5:N5"/>
    <mergeCell ref="M6:N6"/>
    <mergeCell ref="L3:M3"/>
    <mergeCell ref="N11:O11"/>
    <mergeCell ref="O6:P6"/>
    <mergeCell ref="O5:P5"/>
    <mergeCell ref="O17:P17"/>
    <mergeCell ref="O18:P18"/>
    <mergeCell ref="H33:I34"/>
    <mergeCell ref="H27:I27"/>
    <mergeCell ref="M18:N18"/>
    <mergeCell ref="M17:N17"/>
  </mergeCells>
  <phoneticPr fontId="8" type="noConversion"/>
  <conditionalFormatting sqref="B14:D14 B34:C34">
    <cfRule type="expression" dxfId="53" priority="36" stopIfTrue="1">
      <formula>AND(IF(RIGHT(Nb_diam,1)=",",1),IF(LEFT(Type_masquage,1)="M",1))</formula>
    </cfRule>
  </conditionalFormatting>
  <conditionalFormatting sqref="C11">
    <cfRule type="cellIs" dxfId="52" priority="24" stopIfTrue="1" operator="equal">
      <formula>549</formula>
    </cfRule>
    <cfRule type="expression" dxfId="51" priority="27" stopIfTrue="1">
      <formula>OR(MasseSans&lt;MpropuVide, MasseSans&gt;20*MpropuPlein)</formula>
    </cfRule>
  </conditionalFormatting>
  <conditionalFormatting sqref="C12">
    <cfRule type="cellIs" dxfId="50" priority="23" stopIfTrue="1" operator="equal">
      <formula>359</formula>
    </cfRule>
  </conditionalFormatting>
  <conditionalFormatting sqref="C17">
    <cfRule type="expression" dxfId="49" priority="150" stopIfTrue="1">
      <formula>C204</formula>
    </cfRule>
  </conditionalFormatting>
  <conditionalFormatting sqref="C27 C29">
    <cfRule type="cellIs" dxfId="48" priority="17" stopIfTrue="1" operator="equal">
      <formula>64</formula>
    </cfRule>
  </conditionalFormatting>
  <conditionalFormatting sqref="C28">
    <cfRule type="cellIs" dxfId="47" priority="18" stopIfTrue="1" operator="equal">
      <formula>39</formula>
    </cfRule>
  </conditionalFormatting>
  <conditionalFormatting sqref="C30">
    <cfRule type="cellIs" dxfId="46" priority="19" stopIfTrue="1" operator="equal">
      <formula>79</formula>
    </cfRule>
  </conditionalFormatting>
  <conditionalFormatting sqref="C13:D13">
    <cfRule type="cellIs" dxfId="45" priority="22" stopIfTrue="1" operator="equal">
      <formula>569</formula>
    </cfRule>
  </conditionalFormatting>
  <conditionalFormatting sqref="C22:D22">
    <cfRule type="cellIs" dxfId="44" priority="21" stopIfTrue="1" operator="equal">
      <formula>126</formula>
    </cfRule>
  </conditionalFormatting>
  <conditionalFormatting sqref="C23:D23">
    <cfRule type="cellIs" dxfId="43" priority="20" stopIfTrue="1" operator="equal">
      <formula>44</formula>
    </cfRule>
  </conditionalFormatting>
  <conditionalFormatting sqref="D17">
    <cfRule type="expression" dxfId="42" priority="10" stopIfTrue="1">
      <formula>D202</formula>
    </cfRule>
  </conditionalFormatting>
  <conditionalFormatting sqref="H28">
    <cfRule type="expression" dxfId="41" priority="46" stopIfTrue="1">
      <formula>OR(Cn&lt;CritCnmin,Cn&gt;CritCnmax)</formula>
    </cfRule>
  </conditionalFormatting>
  <conditionalFormatting sqref="H29">
    <cfRule type="expression" dxfId="40" priority="45" stopIfTrue="1">
      <formula>OR(MS_min&lt;CritMsmin,MS_min&gt;CritMsmax)</formula>
    </cfRule>
  </conditionalFormatting>
  <conditionalFormatting sqref="H30">
    <cfRule type="expression" dxfId="39" priority="43" stopIfTrue="1">
      <formula>OR(MS_Cn_min&lt;CritMsCnmin,MS_Cn_min&gt;CritMsCnmax)</formula>
    </cfRule>
  </conditionalFormatting>
  <conditionalFormatting sqref="H27:I27">
    <cfRule type="expression" dxfId="38" priority="47" stopIfTrue="1">
      <formula>OR(Finesse&lt;CritFinessemin,Finesse&gt;CritFinessemax)</formula>
    </cfRule>
  </conditionalFormatting>
  <conditionalFormatting sqref="H33:I34">
    <cfRule type="expression" dxfId="37" priority="50" stopIfTrue="1">
      <formula>$H$33="STABLE"</formula>
    </cfRule>
  </conditionalFormatting>
  <conditionalFormatting sqref="I28">
    <cfRule type="expression" dxfId="36" priority="5" stopIfTrue="1">
      <formula>OR(Cn0&lt;CritCnmin,Cn0&gt;CritCnmax)</formula>
    </cfRule>
  </conditionalFormatting>
  <conditionalFormatting sqref="I29">
    <cfRule type="expression" dxfId="35" priority="44" stopIfTrue="1">
      <formula>OR(MS_max&lt;CritMsmin,MS_max&gt;CritMsmax)</formula>
    </cfRule>
  </conditionalFormatting>
  <conditionalFormatting sqref="I30">
    <cfRule type="expression" dxfId="34" priority="42" stopIfTrue="1">
      <formula>OR(MS_Cn_max&lt;CritMsCnmin,MS_Cn_max&gt;CritMsCnmax)</formula>
    </cfRule>
  </conditionalFormatting>
  <conditionalFormatting sqref="L38:M38">
    <cfRule type="expression" dxfId="33" priority="232" stopIfTrue="1">
      <formula>OR(SUM($C$27:$C$32)=273, $H$33&lt;&gt;"STABLE")</formula>
    </cfRule>
  </conditionalFormatting>
  <conditionalFormatting sqref="L6:P9">
    <cfRule type="expression" dxfId="32" priority="48" stopIfTrue="1">
      <formula>IF(RIGHT(Nb_diam,1)=",",1)</formula>
    </cfRule>
  </conditionalFormatting>
  <conditionalFormatting sqref="L20:P22 D25:E25 D27:E34 B35:E35">
    <cfRule type="expression" dxfId="31" priority="83" stopIfTrue="1">
      <formula>IF(LEFT(Type_masquage,1)="M",1)</formula>
    </cfRule>
  </conditionalFormatting>
  <conditionalFormatting sqref="L23:P24">
    <cfRule type="expression" dxfId="30" priority="64" stopIfTrue="1">
      <formula>IF(RIGHT(Nb_diam,1)=",",1)</formula>
    </cfRule>
  </conditionalFormatting>
  <conditionalFormatting sqref="M36 O36">
    <cfRule type="expression" dxfId="29" priority="141" stopIfTrue="1">
      <formula>$M$36="propu NOK"</formula>
    </cfRule>
  </conditionalFormatting>
  <conditionalFormatting sqref="M5:P5">
    <cfRule type="expression" dxfId="28" priority="38" stopIfTrue="1">
      <formula>IF(RIGHT(Nb_diam,1)=",",1)</formula>
    </cfRule>
  </conditionalFormatting>
  <conditionalFormatting sqref="N36">
    <cfRule type="expression" dxfId="27" priority="26" stopIfTrue="1">
      <formula>ROUND(SUM(C2:P25)+SUM(C27:P35),0)=8637</formula>
    </cfRule>
  </conditionalFormatting>
  <dataValidations count="13">
    <dataValidation type="whole" allowBlank="1" showInputMessage="1" showErrorMessage="1" error="Tapez un entier entre 3 et 6." sqref="C32:D32" xr:uid="{0B6E2C9D-DAC5-F146-B9BD-078A6198BB9B}">
      <formula1>3</formula1>
      <formula2>6</formula2>
    </dataValidation>
    <dataValidation type="decimal" operator="notEqual" allowBlank="1" showInputMessage="1" showErrorMessage="1" error="Tapez uniquement la longueur, sans l'unité." sqref="C29:D29" xr:uid="{466736F9-CB69-4447-9EDD-D0315D406FD1}">
      <formula1>1E+100</formula1>
    </dataValidation>
    <dataValidation type="decimal" operator="greaterThanOrEqual" allowBlank="1" showInputMessage="1" showErrorMessage="1" error="Tapez uniquement la longueur, sans l'unité." sqref="C27:D28 C33:D34 C30:D31 M6:O9" xr:uid="{8F6CEE36-4894-FB43-BAA1-BDB860438BF5}">
      <formula1>0</formula1>
    </dataValidation>
    <dataValidation type="list" showInputMessage="1" showErrorMessage="1" sqref="C26:D26" xr:uid="{79D1D883-6729-D043-8B70-93426D38A3A1}">
      <formula1>Menu_Empennage</formula1>
    </dataValidation>
    <dataValidation type="list" showInputMessage="1" showErrorMessage="1" sqref="C17:D17" xr:uid="{C63DA15E-96B4-A44F-8AF7-1574288C1661}">
      <formula1>Liste_propu</formula1>
    </dataValidation>
    <dataValidation type="list" showInputMessage="1" showErrorMessage="1" sqref="M2" xr:uid="{365CF203-40E6-744C-B3E9-43668F4942EE}">
      <formula1>Menu_Lang</formula1>
    </dataValidation>
    <dataValidation type="decimal" showInputMessage="1" showErrorMessage="1" errorTitle="Masse de la Fusée" error="Tapez uniquement la masse, sans l'unité." sqref="C11" xr:uid="{61B5E42E-8481-E14A-A642-4ECD3B562EE6}">
      <formula1>0</formula1>
      <formula2>50000</formula2>
    </dataValidation>
    <dataValidation type="decimal" operator="greaterThan" showInputMessage="1" showErrorMessage="1" error="Tapez uniquement la longueur, sans l'unité." sqref="C12 C13:D13 C22:D23" xr:uid="{57773C4F-9C6C-8548-9F34-C74B73D21C1D}">
      <formula1>0</formula1>
    </dataValidation>
    <dataValidation type="list" showInputMessage="1" showErrorMessage="1" sqref="D11:D12" xr:uid="{594D8E20-D917-4244-8111-797409E591CB}">
      <formula1>Menu_with_motor</formula1>
    </dataValidation>
    <dataValidation type="list" showInputMessage="1" showErrorMessage="1" sqref="C10:D10" xr:uid="{EAE9CC7C-DBFB-7043-A5F9-0E2131E02B4D}">
      <formula1>Menu_Type</formula1>
    </dataValidation>
    <dataValidation type="decimal" operator="greaterThan" allowBlank="1" showInputMessage="1" showErrorMessage="1" error="Tapez uniquement la longueur, sans l'unité." sqref="C18" xr:uid="{D63BB950-CD20-104E-9239-4D42BF9046BC}">
      <formula1>0</formula1>
    </dataValidation>
    <dataValidation type="list" showInputMessage="1" showErrorMessage="1" sqref="C21:D21" xr:uid="{EE8348D6-8911-EB45-BB9E-531C86D5E490}">
      <formula1>Menu_Ogive</formula1>
    </dataValidation>
    <dataValidation type="list" showInputMessage="1" showErrorMessage="1" sqref="M4" xr:uid="{89162CE9-2114-154B-ADF4-DDF8347A12C1}">
      <formula1>Menu_Transitions</formula1>
    </dataValidation>
  </dataValidations>
  <hyperlinks>
    <hyperlink ref="M38" location="Trajecto!C25" display="Trajecto" xr:uid="{5ED66539-BC16-E54D-8A5C-2CC7C3C4040F}"/>
  </hyperlinks>
  <printOptions horizontalCentered="1" verticalCentered="1"/>
  <pageMargins left="7.874015748031496E-2" right="7.874015748031496E-2" top="7.874015748031496E-2" bottom="7.874015748031496E-2" header="0" footer="0"/>
  <pageSetup paperSize="9" orientation="landscape" horizontalDpi="200" verticalDpi="2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775" r:id="rId3" name="Spinner 935">
              <controlPr defaultSize="0" print="0" autoPict="0">
                <anchor moveWithCells="1" sizeWithCells="1">
                  <from>
                    <xdr:col>3</xdr:col>
                    <xdr:colOff>809625</xdr:colOff>
                    <xdr:row>21</xdr:row>
                    <xdr:rowOff>9525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1" r:id="rId4" name="Spinner 941">
              <controlPr defaultSize="0" print="0" autoPict="0">
                <anchor moveWithCells="1" sizeWithCells="1">
                  <from>
                    <xdr:col>2</xdr:col>
                    <xdr:colOff>809625</xdr:colOff>
                    <xdr:row>10</xdr:row>
                    <xdr:rowOff>9525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2" r:id="rId5" name="Spinner 942">
              <controlPr defaultSize="0" print="0" autoPict="0">
                <anchor moveWithCells="1" sizeWithCells="1">
                  <from>
                    <xdr:col>2</xdr:col>
                    <xdr:colOff>809625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3" r:id="rId6" name="Spinner 943">
              <controlPr defaultSize="0" print="0" autoPict="0">
                <anchor moveWithCells="1" sizeWithCells="1">
                  <from>
                    <xdr:col>3</xdr:col>
                    <xdr:colOff>809625</xdr:colOff>
                    <xdr:row>22</xdr:row>
                    <xdr:rowOff>9525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9" r:id="rId7" name="Spinner 949">
              <controlPr defaultSize="0" print="0" autoPict="0">
                <anchor moveWithCells="1" sizeWithCells="1">
                  <from>
                    <xdr:col>2</xdr:col>
                    <xdr:colOff>809625</xdr:colOff>
                    <xdr:row>26</xdr:row>
                    <xdr:rowOff>9525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5" r:id="rId8" name="Spinner 955">
              <controlPr defaultSize="0" print="0" autoPict="0">
                <anchor moveWithCells="1" sizeWithCells="1">
                  <from>
                    <xdr:col>2</xdr:col>
                    <xdr:colOff>809625</xdr:colOff>
                    <xdr:row>27</xdr:row>
                    <xdr:rowOff>9525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6" r:id="rId9" name="Spinner 956">
              <controlPr defaultSize="0" print="0" autoPict="0">
                <anchor moveWithCells="1" sizeWithCells="1">
                  <from>
                    <xdr:col>2</xdr:col>
                    <xdr:colOff>809625</xdr:colOff>
                    <xdr:row>28</xdr:row>
                    <xdr:rowOff>9525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7" r:id="rId10" name="Spinner 957">
              <controlPr defaultSize="0" print="0" autoPict="0">
                <anchor moveWithCells="1" sizeWithCells="1">
                  <from>
                    <xdr:col>2</xdr:col>
                    <xdr:colOff>809625</xdr:colOff>
                    <xdr:row>29</xdr:row>
                    <xdr:rowOff>9525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8" r:id="rId11" name="Spinner 958">
              <controlPr defaultSize="0" print="0" autoPict="0">
                <anchor moveWithCells="1" sizeWithCells="1">
                  <from>
                    <xdr:col>2</xdr:col>
                    <xdr:colOff>809625</xdr:colOff>
                    <xdr:row>30</xdr:row>
                    <xdr:rowOff>9525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9" r:id="rId12" name="Spinner 959">
              <controlPr defaultSize="0" print="0" autoPict="0">
                <anchor moveWithCells="1" sizeWithCells="1">
                  <from>
                    <xdr:col>2</xdr:col>
                    <xdr:colOff>809625</xdr:colOff>
                    <xdr:row>31</xdr:row>
                    <xdr:rowOff>9525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1" r:id="rId13" name="Spinner 961">
              <controlPr defaultSize="0" print="0" autoPict="0">
                <anchor moveWithCells="1" sizeWithCells="1">
                  <from>
                    <xdr:col>3</xdr:col>
                    <xdr:colOff>809625</xdr:colOff>
                    <xdr:row>12</xdr:row>
                    <xdr:rowOff>9525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1" r:id="rId14" name="Spinner 3315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2" r:id="rId15" name="Spinner 3316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EC23-8FF4-4845-884D-BFFCC7C46FA3}">
  <sheetPr codeName="Feuil1">
    <pageSetUpPr fitToPage="1"/>
  </sheetPr>
  <dimension ref="A1:R199"/>
  <sheetViews>
    <sheetView showGridLines="0" topLeftCell="A9" zoomScaleNormal="100" workbookViewId="0">
      <selection activeCell="C15" sqref="C15:D15"/>
    </sheetView>
  </sheetViews>
  <sheetFormatPr baseColWidth="10" defaultColWidth="11.42578125" defaultRowHeight="12.75" x14ac:dyDescent="0.2"/>
  <cols>
    <col min="1" max="1" width="2.140625" style="1" customWidth="1"/>
    <col min="2" max="2" width="16.42578125" style="1" customWidth="1"/>
    <col min="3" max="4" width="11.42578125" style="1"/>
    <col min="5" max="5" width="2.5703125" style="1" customWidth="1"/>
    <col min="6" max="7" width="12.85546875" style="1" customWidth="1"/>
    <col min="8" max="13" width="10.5703125" style="1" customWidth="1"/>
    <col min="14" max="15" width="2.140625" style="1" customWidth="1"/>
    <col min="16" max="17" width="14.42578125" style="1" customWidth="1"/>
    <col min="18" max="16384" width="11.42578125" style="1"/>
  </cols>
  <sheetData>
    <row r="1" spans="1:14" x14ac:dyDescent="0.2">
      <c r="A1" s="51"/>
      <c r="B1" s="52"/>
      <c r="C1" s="53"/>
      <c r="D1" s="52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2.75" customHeight="1" x14ac:dyDescent="0.2">
      <c r="A2" s="56"/>
      <c r="B2" s="2"/>
      <c r="C2" s="591" t="s">
        <v>0</v>
      </c>
      <c r="D2" s="591"/>
      <c r="F2" s="3"/>
      <c r="J2" s="4"/>
      <c r="N2" s="57"/>
    </row>
    <row r="3" spans="1:14" ht="12.75" customHeight="1" x14ac:dyDescent="0.2">
      <c r="A3" s="56"/>
      <c r="B3" s="2"/>
      <c r="C3" s="591"/>
      <c r="D3" s="591"/>
      <c r="H3" s="5"/>
      <c r="J3" s="4"/>
      <c r="N3" s="57"/>
    </row>
    <row r="4" spans="1:14" ht="12.75" customHeight="1" x14ac:dyDescent="0.2">
      <c r="A4" s="56"/>
      <c r="B4" s="2"/>
      <c r="C4" s="595" t="str">
        <f>IF(Lang="Français","Trajectographie de fusée",IF(Lang="English","Rocket Trajectography",""))</f>
        <v>Trajectographie de fusée</v>
      </c>
      <c r="D4" s="595"/>
      <c r="H4" s="5"/>
      <c r="J4" s="4"/>
      <c r="N4" s="57"/>
    </row>
    <row r="5" spans="1:14" ht="12.75" customHeight="1" x14ac:dyDescent="0.2">
      <c r="A5" s="56"/>
      <c r="B5" s="2"/>
      <c r="J5" s="4"/>
      <c r="N5" s="57"/>
    </row>
    <row r="6" spans="1:14" ht="12.95" customHeight="1" x14ac:dyDescent="0.2">
      <c r="A6" s="56"/>
      <c r="B6" s="87"/>
      <c r="C6" s="594" t="str">
        <f>IF(Lang="Français","Remplir les cases jaunes",IF(Lang="English","Fill-in yellow cells only",""))</f>
        <v>Remplir les cases jaunes</v>
      </c>
      <c r="D6" s="594"/>
      <c r="J6" s="4"/>
      <c r="N6" s="57"/>
    </row>
    <row r="7" spans="1:14" x14ac:dyDescent="0.2">
      <c r="A7" s="56"/>
      <c r="B7" s="6"/>
      <c r="C7" s="592" t="str">
        <f>IF(Lang="Français","Fusée",IF(Lang="English","Rocket",""))</f>
        <v>Fusée</v>
      </c>
      <c r="D7" s="592"/>
      <c r="N7" s="58"/>
    </row>
    <row r="8" spans="1:14" ht="12.75" customHeight="1" x14ac:dyDescent="0.25">
      <c r="A8" s="56"/>
      <c r="B8" s="140" t="str">
        <f>IF(Lang="Français","Nom",IF(Lang="English","Name",""))</f>
        <v>Nom</v>
      </c>
      <c r="C8" s="593" t="str">
        <f>Nom</f>
        <v>SP-02-alpha</v>
      </c>
      <c r="D8" s="593"/>
      <c r="E8" s="5"/>
      <c r="F8" s="5"/>
      <c r="J8" s="4"/>
      <c r="N8" s="57"/>
    </row>
    <row r="9" spans="1:14" ht="12.75" customHeight="1" x14ac:dyDescent="0.25">
      <c r="A9" s="59"/>
      <c r="B9" s="140" t="s">
        <v>4</v>
      </c>
      <c r="C9" s="593" t="str">
        <f>Club</f>
        <v>l'AéroIPSA</v>
      </c>
      <c r="D9" s="593"/>
      <c r="F9" s="5"/>
      <c r="N9" s="58"/>
    </row>
    <row r="10" spans="1:14" ht="12.75" customHeight="1" x14ac:dyDescent="0.2">
      <c r="A10" s="59"/>
      <c r="B10" s="140" t="str">
        <f>IF(Lang="Français","Masse totale",IF(Lang="English","Total Mass",""))</f>
        <v>Masse totale</v>
      </c>
      <c r="C10" s="617">
        <f ca="1">MassePlein</f>
        <v>7.1850000000000005</v>
      </c>
      <c r="D10" s="617"/>
      <c r="F10" s="5"/>
      <c r="N10" s="58"/>
    </row>
    <row r="11" spans="1:14" ht="12.75" customHeight="1" x14ac:dyDescent="0.2">
      <c r="A11" s="59"/>
      <c r="B11" s="227" t="str">
        <f>IF(Lang="Français","Propulseur",IF(Lang="English","Motor",""))</f>
        <v>Propulseur</v>
      </c>
      <c r="C11" s="620" t="str">
        <f>Propu</f>
        <v>Barasinga (Pro54-5G)</v>
      </c>
      <c r="D11" s="621"/>
      <c r="F11" s="5"/>
      <c r="N11" s="58"/>
    </row>
    <row r="12" spans="1:14" ht="12.75" customHeight="1" x14ac:dyDescent="0.2">
      <c r="A12" s="59"/>
      <c r="F12" s="5"/>
      <c r="N12" s="58"/>
    </row>
    <row r="13" spans="1:14" ht="12.75" customHeight="1" x14ac:dyDescent="0.2">
      <c r="A13" s="59"/>
      <c r="B13"/>
      <c r="C13" s="592" t="str">
        <f>IF(Lang="Français","Traînée Aérdynamique",IF(Lang="English","Drag",""))</f>
        <v>Traînée Aérdynamique</v>
      </c>
      <c r="D13" s="592"/>
      <c r="N13" s="58"/>
    </row>
    <row r="14" spans="1:14" ht="12.75" customHeight="1" x14ac:dyDescent="0.2">
      <c r="A14" s="59"/>
      <c r="B14" s="140" t="s">
        <v>41</v>
      </c>
      <c r="C14" s="622">
        <f>(PI()*D_ref^2/4+E_ail*ep_ail*Q_ail)/10^6</f>
        <v>7.7817694409323948E-3</v>
      </c>
      <c r="D14" s="622"/>
      <c r="N14" s="58"/>
    </row>
    <row r="15" spans="1:14" ht="12.75" customHeight="1" x14ac:dyDescent="0.2">
      <c r="A15" s="59"/>
      <c r="B15" s="141" t="s">
        <v>5</v>
      </c>
      <c r="C15" s="615">
        <v>0.6</v>
      </c>
      <c r="D15" s="616"/>
      <c r="N15" s="58"/>
    </row>
    <row r="16" spans="1:14" ht="12.75" customHeight="1" x14ac:dyDescent="0.2">
      <c r="A16" s="59"/>
      <c r="N16" s="58"/>
    </row>
    <row r="17" spans="1:18" ht="12.75" customHeight="1" x14ac:dyDescent="0.2">
      <c r="A17" s="59"/>
      <c r="B17"/>
      <c r="C17" s="592" t="str">
        <f>IF(Lang="Français","Rampe de Lancement",IF(Lang="English","Launch Pad",""))</f>
        <v>Rampe de Lancement</v>
      </c>
      <c r="D17" s="592"/>
      <c r="N17" s="58"/>
    </row>
    <row r="18" spans="1:18" ht="12.75" customHeight="1" x14ac:dyDescent="0.2">
      <c r="A18" s="59"/>
      <c r="B18" s="140" t="str">
        <f>IF(Lang="Français","Longueur",IF(Lang="English","Length",""))</f>
        <v>Longueur</v>
      </c>
      <c r="C18" s="619">
        <f>IF(RIGHT(Type_fusee,1)=".",4, IF(LEFT(Type_fusee,4)="Mini",2.5, IF(LEFT(Type_fusee,5)="Micro",1, IF(RIGHT(Type_fusee,1)=" ",0.1,IF(LEFT(Type_fusee,1)="R",3, 2.5)))))</f>
        <v>4</v>
      </c>
      <c r="D18" s="619"/>
      <c r="N18" s="58"/>
    </row>
    <row r="19" spans="1:18" ht="12.75" customHeight="1" x14ac:dyDescent="0.2">
      <c r="A19" s="59"/>
      <c r="B19" s="140" t="str">
        <f>IF(Lang="Français","Élévation",IF(Lang="English","Angle /horizon",""))</f>
        <v>Élévation</v>
      </c>
      <c r="C19" s="618">
        <v>85</v>
      </c>
      <c r="D19" s="618"/>
      <c r="N19" s="58"/>
    </row>
    <row r="20" spans="1:18" ht="12.75" customHeight="1" x14ac:dyDescent="0.2">
      <c r="A20" s="59"/>
      <c r="B20" s="140" t="s">
        <v>6</v>
      </c>
      <c r="C20" s="619">
        <v>0</v>
      </c>
      <c r="D20" s="619"/>
      <c r="N20" s="58"/>
    </row>
    <row r="21" spans="1:18" ht="12.75" customHeight="1" x14ac:dyDescent="0.2">
      <c r="A21" s="59"/>
      <c r="F21" s="384" t="str">
        <f ca="1">IF( OR( AND(Vsortie_de_rampe&lt;18, RIGHT(Type_fusee,1)=";"), AND(Vsortie_de_rampe&lt;20, RIGHT(Type_fusee,1)=".")), IF(Lang="Français","Vitesse en Sortie de Rampe trop faible, alléger la fusée ou choisir un propu plus puissant.","Speed at Launch Pad Exit too low, lighten the rocket or choose a bigger motor."), "")</f>
        <v/>
      </c>
      <c r="N21" s="58"/>
    </row>
    <row r="22" spans="1:18" x14ac:dyDescent="0.2">
      <c r="A22" s="59"/>
      <c r="C22" s="605" t="str">
        <f>IF(Lang="Français","DescenteSousParachute",IF(Lang="English","Over Parachute",""))</f>
        <v>DescenteSousParachute</v>
      </c>
      <c r="D22" s="606"/>
      <c r="F22" s="4"/>
      <c r="G22" s="50">
        <f ca="1">TODAY()</f>
        <v>45775</v>
      </c>
      <c r="H22" s="491" t="str">
        <f>IF(Lang="Français","Temps",IF(Lang="English","Time",""))</f>
        <v>Temps</v>
      </c>
      <c r="I22" s="491" t="s">
        <v>12</v>
      </c>
      <c r="J22" s="491" t="str">
        <f>IF(Lang="Français","Portée x",IF(Lang="English","Range x",""))</f>
        <v>Portée x</v>
      </c>
      <c r="K22" s="491" t="str">
        <f>IF(Lang="Français","Vitesse",IF(Lang="English","Velocity",""))</f>
        <v>Vitesse</v>
      </c>
      <c r="L22" s="492" t="s">
        <v>13</v>
      </c>
      <c r="M22" s="501" t="s">
        <v>425</v>
      </c>
      <c r="N22" s="58"/>
    </row>
    <row r="23" spans="1:18" x14ac:dyDescent="0.2">
      <c r="A23" s="59"/>
      <c r="B23"/>
      <c r="C23" s="142" t="str">
        <f>C7</f>
        <v>Fusée</v>
      </c>
      <c r="D23" s="220" t="s">
        <v>123</v>
      </c>
      <c r="F23" s="607" t="str">
        <f>IF(Lang="Français","Sortie de Rampe",IF(Lang="English","Launch-Pad Exit",""))</f>
        <v>Sortie de Rampe</v>
      </c>
      <c r="G23" s="608"/>
      <c r="H23" s="493"/>
      <c r="I23" s="493"/>
      <c r="J23" s="493"/>
      <c r="K23" s="494">
        <f ca="1">INDEX(vit_xz,MATCH("Sortie de rampe",Event,0))</f>
        <v>29.497067091147294</v>
      </c>
      <c r="L23" s="495"/>
      <c r="M23" s="502"/>
      <c r="N23" s="58"/>
    </row>
    <row r="24" spans="1:18" x14ac:dyDescent="0.2">
      <c r="A24" s="59"/>
      <c r="B24" s="466" t="str">
        <f>IF(Lang="Français","Masse",IF(Lang="English","Mass",""))</f>
        <v>Masse</v>
      </c>
      <c r="C24" s="467">
        <f ca="1">IF(Nb_sat="0 satellite",MasseVide,MasseVide-m_satellite)</f>
        <v>6.1520000000000001</v>
      </c>
      <c r="D24" s="482">
        <f>IF(RIGHT(Type_fusee,1)=".",1,0.15)</f>
        <v>1</v>
      </c>
      <c r="E24" s="18" t="str">
        <f>IF(ABS(T_satellite-0.11-T_para)&lt;0.1,"Pb!","")</f>
        <v/>
      </c>
      <c r="F24" s="611" t="str">
        <f>IF(Lang="Français","Vit max &amp; Acc max",IF(Lang="English","Max Velocity &amp; Acc",""))</f>
        <v>Vit max &amp; Acc max</v>
      </c>
      <c r="G24" s="612"/>
      <c r="H24" s="115"/>
      <c r="I24" s="115"/>
      <c r="J24" s="115"/>
      <c r="K24" s="158">
        <f ca="1">MAX(vit_xz)</f>
        <v>236.13002728479427</v>
      </c>
      <c r="L24" s="496">
        <f ca="1">MAX(acc_xz)</f>
        <v>114.63589403483726</v>
      </c>
      <c r="M24" s="502"/>
      <c r="N24" s="58"/>
    </row>
    <row r="25" spans="1:18" x14ac:dyDescent="0.2">
      <c r="A25" s="59"/>
      <c r="B25" s="470" t="str">
        <f>IF(Lang="Français","Dépotage",IF(Lang="English","Delay",""))</f>
        <v>Dépotage</v>
      </c>
      <c r="C25" s="507" t="s">
        <v>546</v>
      </c>
      <c r="D25" s="481"/>
      <c r="F25" s="613" t="str">
        <f>IF(Lang="Français","Largage du satellite",IF(Lang="English","Satellite separation",""))</f>
        <v>Largage du satellite</v>
      </c>
      <c r="G25" s="614"/>
      <c r="H25" s="152">
        <f>IF(T_satellite&lt;&gt;0,T_satellite,"")</f>
        <v>3.5</v>
      </c>
      <c r="I25" s="156">
        <f ca="1">IF(T_satellite&lt;&gt;0,INDEX(pos_z,MATCH("Satellite",Event_sat,0)),"")</f>
        <v>520.4817127137527</v>
      </c>
      <c r="J25" s="154">
        <f ca="1">IF(T_satellite&lt;&gt;0,INDEX(pos_x,MATCH("Satellite",Event_sat,0)),"")</f>
        <v>55.038153294424831</v>
      </c>
      <c r="K25" s="159">
        <f ca="1">IF(T_satellite&lt;&gt;0,INDEX(vit_xz,MATCH("Satellite",Event_sat,0)),"")</f>
        <v>232.53425817157836</v>
      </c>
      <c r="L25" s="497"/>
      <c r="M25" s="487">
        <f ca="1">1/2*Rho_moyen*1*V_ouv_sat^2*S_satellite</f>
        <v>3311.9210999336337</v>
      </c>
      <c r="N25" s="58"/>
    </row>
    <row r="26" spans="1:18" x14ac:dyDescent="0.2">
      <c r="A26" s="59"/>
      <c r="B26" s="468" t="str">
        <f>IF(Lang="Français","Ouverture para",IF(Lang="English","Opening time",""))</f>
        <v>Ouverture para</v>
      </c>
      <c r="C26" s="509">
        <v>19</v>
      </c>
      <c r="D26" s="469">
        <v>3.5</v>
      </c>
      <c r="F26" s="611" t="s">
        <v>15</v>
      </c>
      <c r="G26" s="612"/>
      <c r="H26" s="153">
        <f ca="1">INDEX(t,MATCH("Apogée",Event,0))</f>
        <v>18.799999999999955</v>
      </c>
      <c r="I26" s="157">
        <f ca="1">INDEX(pos_z,MATCH("Apogée",Event,0))</f>
        <v>1926.6040134102664</v>
      </c>
      <c r="J26" s="155">
        <f ca="1">INDEX(pos_x,MATCH("Apogée",Event,0))</f>
        <v>321.92176497922156</v>
      </c>
      <c r="K26" s="160">
        <f ca="1">INDEX(vit_xz,MATCH("Apogée",Event,0))</f>
        <v>14.284654798891694</v>
      </c>
      <c r="L26" s="498"/>
      <c r="M26" s="502"/>
      <c r="N26" s="58"/>
    </row>
    <row r="27" spans="1:18" x14ac:dyDescent="0.2">
      <c r="A27" s="59"/>
      <c r="B27" s="141" t="s">
        <v>9</v>
      </c>
      <c r="C27" s="225">
        <f>S_para_croix</f>
        <v>1.5070049999999999</v>
      </c>
      <c r="D27" s="17">
        <f>IF(RIGHT(Type_fusee,1)=".",0.1,0.02)</f>
        <v>0.1</v>
      </c>
      <c r="F27" s="609" t="str">
        <f>IF(Lang="Français","Ouverture parachute fusée",IF(Lang="English","Rocket parachute opening",""))</f>
        <v>Ouverture parachute fusée</v>
      </c>
      <c r="G27" s="610"/>
      <c r="H27" s="152">
        <f>T_para</f>
        <v>19</v>
      </c>
      <c r="I27" s="156">
        <f ca="1">INDEX(pos_z,MATCH("Para",Event_para,0))</f>
        <v>1926.4500239828867</v>
      </c>
      <c r="J27" s="488">
        <f ca="1">INDEX(pos_x,MATCH("Para",Event_para,0))</f>
        <v>324.77682050982679</v>
      </c>
      <c r="K27" s="159">
        <f ca="1">INDEX(vit_xz,MATCH("Para",Event_para,0))</f>
        <v>14.374462777146512</v>
      </c>
      <c r="L27" s="497"/>
      <c r="M27" s="487">
        <f ca="1">1/2*Rho_moyen*1*V_ouverture^2*S_para</f>
        <v>190.72342249530877</v>
      </c>
      <c r="N27" s="58"/>
      <c r="P27" s="384" t="str">
        <f ca="1">IF(V_para&lt;5, IF(Lang="Français","Parachute fusée trop grand !","Parachute too big!"), IF( V_para&gt;15, IF(Lang="Français","Parachute fusée trop petit !","Parachute too small!"), ""))</f>
        <v/>
      </c>
      <c r="R27" s="384" t="str">
        <f>IF(AND(Nb_sat="1 satellite", OR(V_satellite&lt;5)), IF(Lang="Français","Parachute satéllite trop grand !","Parachute too big"), IF(AND(Nb_sat="1 satellite",OR(V_satellite&gt;15)), IF(Lang="Français","Parachute satéllite trop petit !","Parachute too small!"), ""))</f>
        <v/>
      </c>
    </row>
    <row r="28" spans="1:18" x14ac:dyDescent="0.2">
      <c r="A28" s="59"/>
      <c r="B28" s="141" t="s">
        <v>10</v>
      </c>
      <c r="C28" s="143">
        <v>1</v>
      </c>
      <c r="D28" s="143">
        <v>1</v>
      </c>
      <c r="F28" s="598" t="str">
        <f>IF(Lang="Français","Impact balistique",IF(Lang="English","Balistic Impact",""))</f>
        <v>Impact balistique</v>
      </c>
      <c r="G28" s="599"/>
      <c r="H28" s="499">
        <f ca="1">INDEX(t,MATCH("Impact balistique",Event,0))</f>
        <v>41.400000000000276</v>
      </c>
      <c r="I28" s="519" t="s">
        <v>432</v>
      </c>
      <c r="J28" s="489">
        <f ca="1">INDEX(pos_x,MATCH("Impact balistique",Event,0))</f>
        <v>568.62651553779426</v>
      </c>
      <c r="K28" s="503">
        <f ca="1">K45</f>
        <v>135.06475175839057</v>
      </c>
      <c r="L28" s="500"/>
      <c r="M28" s="504">
        <f ca="1">0.5*m_vide*K28^2</f>
        <v>56113.890527401236</v>
      </c>
      <c r="N28" s="58"/>
      <c r="P28" s="384" t="str">
        <f ca="1">IF( OR( V_para&lt;5, V_para&gt;15, AND(Nb_sat="1 satellite", OR(V_satellite&lt;5, V_satellite&gt;15))), IF(Lang="Français","La Vitesse de descente sous parachute doit être comprise entre 5 &amp; 15 m/s.","Fall Velocity with parachute must be between 5 &amp; 15 m/s."), "")</f>
        <v/>
      </c>
    </row>
    <row r="29" spans="1:18" x14ac:dyDescent="0.2">
      <c r="A29" s="59"/>
      <c r="B29" s="141" t="str">
        <f>IF(Lang="Français","Vitesse du vent",IF(Lang="English","Wind speed",""))</f>
        <v>Vitesse du vent</v>
      </c>
      <c r="C29" s="144">
        <v>5</v>
      </c>
      <c r="D29" s="144">
        <f>V_vent</f>
        <v>5</v>
      </c>
      <c r="E29" s="18" t="str">
        <f>IF(AND(T_satellite=0,m_satellite&lt;&gt;0),"Erreur !","")</f>
        <v/>
      </c>
      <c r="G29" s="485"/>
      <c r="H29" s="486"/>
      <c r="I29" s="490"/>
      <c r="N29" s="58"/>
      <c r="P29" s="384" t="str">
        <f ca="1">IF(AND(Portee_balistique&gt;200,LEFT(Propu,2)="p2"),IF(Lang="Français","Fusée trop lègère !","Rocket too light"),"")</f>
        <v/>
      </c>
    </row>
    <row r="30" spans="1:18" x14ac:dyDescent="0.2">
      <c r="A30" s="59"/>
      <c r="B30" s="133" t="str">
        <f>IF(Lang="Français","Vitesse descente",IF(Lang="English","Fall velocity",""))</f>
        <v>Vitesse descente</v>
      </c>
      <c r="C30" s="424">
        <f ca="1">SQRT(2*m_vide*g/Rho_moyen/S_para/Cx_para)</f>
        <v>8.0859727600011446</v>
      </c>
      <c r="D30" s="424">
        <f>SQRT(2*m_satellite*g/Rho_moyen/S_satellite/Cx_satellite)</f>
        <v>12.655562623057198</v>
      </c>
      <c r="F30" s="384"/>
      <c r="K30" s="388"/>
      <c r="N30" s="58"/>
      <c r="P30" s="384" t="str">
        <f ca="1">IF(OR(AND(Vsortie_de_rampe&lt;20,LEFT(Type_fusee,1)="F"),AND(Vsortie_de_rampe&lt;18, OR(LEFT(Type_fusee,1)=",",LEFT(Type_fusee,4)="Mini",LEFT(Type_fusee,1)="R"))),IF(Lang="Français","Fusée trop lourde ou rampe trop courte !","Rocket too heavy or launch pad too small!"),"")</f>
        <v/>
      </c>
    </row>
    <row r="31" spans="1:18" x14ac:dyDescent="0.2">
      <c r="A31" s="59"/>
      <c r="B31" s="133" t="str">
        <f>IF(Lang="Français","Durée descente",IF(Lang="English","Fall duration",""))</f>
        <v>Durée descente</v>
      </c>
      <c r="C31" s="132">
        <f ca="1">Alt_para/V_para</f>
        <v>238.24592057896248</v>
      </c>
      <c r="D31" s="132">
        <f ca="1">IF(V_satellite&lt;&gt;0,Alt_sat/V_satellite,0)</f>
        <v>41.126714648425498</v>
      </c>
      <c r="H31" s="600" t="str">
        <f>IF(Lang="Français","Pour localiser la fusée","To locate the rocket")</f>
        <v>Pour localiser la fusée</v>
      </c>
      <c r="I31" s="600"/>
      <c r="J31" s="484"/>
      <c r="N31" s="395"/>
      <c r="P31" s="384" t="str">
        <f ca="1">IF(Temps_culmi-T_para&gt;2,IF(Lang="Français","Ouverture parachute fusée précoce.","Early rocket parachute opening."),IF(Temps_culmi-T_para&lt;-2,IF(Lang="Français","Ouverture parachute fusée tardive.","Late rocket parachute opening."),""))</f>
        <v/>
      </c>
    </row>
    <row r="32" spans="1:18" x14ac:dyDescent="0.2">
      <c r="A32" s="59"/>
      <c r="B32" s="133" t="str">
        <f>IF(Lang="Français","Durée du vol",IF(Lang="English","Fligth duration",""))</f>
        <v>Durée du vol</v>
      </c>
      <c r="C32" s="132">
        <f ca="1">T_para+Dt_para</f>
        <v>257.24592057896245</v>
      </c>
      <c r="D32" s="132">
        <f ca="1">T_satellite+Dt_satellite</f>
        <v>44.626714648425498</v>
      </c>
      <c r="F32" s="600" t="str">
        <f>IF(Lang="Français","Couleur fuselage/coiffe","Body/Nose color")</f>
        <v>Couleur fuselage/coiffe</v>
      </c>
      <c r="G32" s="600"/>
      <c r="H32" s="596" t="s">
        <v>269</v>
      </c>
      <c r="I32" s="597"/>
      <c r="N32" s="394"/>
      <c r="P32" s="384" t="str">
        <f ca="1">IF(ABS(Temps_culmi-T_para)&gt;2,IF(Lang="Français","Attention, aux efforts sur le parachute lors de l'ouverture !","Becarefull to the opening chute efforts!"),"")</f>
        <v/>
      </c>
    </row>
    <row r="33" spans="1:16" customFormat="1" x14ac:dyDescent="0.2">
      <c r="A33" s="74"/>
      <c r="B33" s="133" t="str">
        <f>IF(Lang="Français","Déport latéral",IF(Lang="English","Lateral shift",""))</f>
        <v>Déport latéral</v>
      </c>
      <c r="C33" s="151">
        <f ca="1">Alt_para*V_vent/V_para</f>
        <v>1191.2296028948124</v>
      </c>
      <c r="D33" s="151">
        <f ca="1">IF(V_satellite&lt;&gt;0,Alt_sat*V_vent_sat/V_satellite,0)</f>
        <v>205.63357324212748</v>
      </c>
      <c r="F33" s="600" t="str">
        <f>IF(Lang="Français","Couleur parachute fusée","Rocket parachute color")</f>
        <v>Couleur parachute fusée</v>
      </c>
      <c r="G33" s="600"/>
      <c r="H33" s="596" t="s">
        <v>270</v>
      </c>
      <c r="I33" s="597"/>
      <c r="N33" s="394" t="str">
        <f>IF(Lang="Français","fichier initial","Initial file")</f>
        <v>fichier initial</v>
      </c>
    </row>
    <row r="34" spans="1:16" x14ac:dyDescent="0.2">
      <c r="A34" s="59"/>
      <c r="F34" s="600" t="str">
        <f>IF(Lang="Français","Couleur parachute satellite","Satellite parachute color")</f>
        <v>Couleur parachute satellite</v>
      </c>
      <c r="G34" s="600"/>
      <c r="H34" s="604" t="s">
        <v>161</v>
      </c>
      <c r="I34" s="604"/>
      <c r="N34" s="393" t="str">
        <f>IF(ROUND(SUM(Propu!5:1218),0)=306466,"propu OK","propu NOK")</f>
        <v>propu OK</v>
      </c>
      <c r="P34"/>
    </row>
    <row r="35" spans="1:16" ht="13.5" thickBot="1" x14ac:dyDescent="0.25">
      <c r="A35" s="60"/>
      <c r="B35" s="181" t="str">
        <f>IF(Lang="Français","Commentaire libre :",IF(Lang="English","Free comment:",""))</f>
        <v>Commentaire libre :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290" t="s">
        <v>550</v>
      </c>
      <c r="P35"/>
    </row>
    <row r="38" spans="1:16" x14ac:dyDescent="0.2">
      <c r="A38" s="601" t="str">
        <f>IF(Lang="Français","Calcul de la surface d'un parachute","Parachute surface calculation")</f>
        <v>Calcul de la surface d'un parachute</v>
      </c>
      <c r="B38" s="602"/>
      <c r="C38" s="602"/>
      <c r="D38" s="603"/>
      <c r="F38" s="601" t="str">
        <f>IF(Lang="Français","Résultats détaillés","Detailled results")</f>
        <v>Résultats détaillés</v>
      </c>
      <c r="G38" s="603"/>
      <c r="H38" s="170" t="str">
        <f>IF(Lang="Français","Temps",IF(Lang="English","Time",""))</f>
        <v>Temps</v>
      </c>
      <c r="I38" s="134" t="s">
        <v>12</v>
      </c>
      <c r="J38" s="134" t="str">
        <f>IF(Lang="Français","Portée x",IF(Lang="English","Range x",""))</f>
        <v>Portée x</v>
      </c>
      <c r="K38" s="134" t="str">
        <f>IF(Lang="Français","Vitesse",IF(Lang="English","Velocity",""))</f>
        <v>Vitesse</v>
      </c>
      <c r="L38" s="135" t="s">
        <v>13</v>
      </c>
      <c r="M38" s="134" t="s">
        <v>42</v>
      </c>
    </row>
    <row r="39" spans="1:16" x14ac:dyDescent="0.2">
      <c r="A39" s="161"/>
      <c r="D39" s="162"/>
      <c r="F39" s="172"/>
      <c r="G39" s="173"/>
      <c r="H39" s="171" t="s">
        <v>156</v>
      </c>
      <c r="I39" s="136" t="s">
        <v>39</v>
      </c>
      <c r="J39" s="136" t="s">
        <v>39</v>
      </c>
      <c r="K39" s="136" t="s">
        <v>157</v>
      </c>
      <c r="L39" s="136" t="s">
        <v>7</v>
      </c>
      <c r="M39" s="136" t="s">
        <v>158</v>
      </c>
    </row>
    <row r="40" spans="1:16" x14ac:dyDescent="0.2">
      <c r="A40" s="161"/>
      <c r="D40" s="162"/>
      <c r="F40" s="625" t="str">
        <f>IF(Lang="Français","Décollage",IF(Lang="English","Lift-Off",""))</f>
        <v>Décollage</v>
      </c>
      <c r="G40" s="625"/>
      <c r="H40" s="150">
        <v>0</v>
      </c>
      <c r="I40" s="150">
        <v>0</v>
      </c>
      <c r="J40" s="150">
        <v>0</v>
      </c>
      <c r="K40" s="150">
        <v>0</v>
      </c>
      <c r="L40" s="148" t="s">
        <v>14</v>
      </c>
      <c r="M40" s="149">
        <f>Beta_rampe</f>
        <v>85</v>
      </c>
    </row>
    <row r="41" spans="1:16" x14ac:dyDescent="0.2">
      <c r="A41" s="161"/>
      <c r="D41" s="162"/>
      <c r="F41" s="612" t="str">
        <f>IF(Lang="Français","Sortie de Rampe",IF(Lang="English","Launch-Pad Exit",""))</f>
        <v>Sortie de Rampe</v>
      </c>
      <c r="G41" s="612"/>
      <c r="H41" s="115">
        <f ca="1">INDEX(t,MATCH("Sortie de rampe",Event,0))</f>
        <v>0.29000000000000009</v>
      </c>
      <c r="I41" s="115">
        <f ca="1">INDEX(pos_z,MATCH("Sortie de rampe",Event,0))</f>
        <v>3.9071182856453341</v>
      </c>
      <c r="J41" s="115">
        <f ca="1">INDEX(pos_x,MATCH("Sortie de rampe",Event,0))</f>
        <v>0.3418098856919381</v>
      </c>
      <c r="K41" s="116">
        <f ca="1">INDEX(vit_xz,MATCH("Sortie de rampe",Event,0))</f>
        <v>29.497067091147294</v>
      </c>
      <c r="L41" s="116">
        <f ca="1">INDEX(acc_xz,MATCH("Sortie de rampe",Event,0))</f>
        <v>109.20424096964493</v>
      </c>
      <c r="M41" s="116">
        <f ca="1">INDEX(BetaD,MATCH("Sortie de rampe",Event,0))</f>
        <v>85</v>
      </c>
    </row>
    <row r="42" spans="1:16" x14ac:dyDescent="0.2">
      <c r="A42" s="161"/>
      <c r="B42" s="166" t="str">
        <f>IF(Lang="Français","Longeur du bord","Side length")</f>
        <v>Longeur du bord</v>
      </c>
      <c r="D42" s="162"/>
      <c r="F42" s="612" t="str">
        <f>IF(Lang="Français","Vit max &amp; Acc max",IF(Lang="English","Max Velocity &amp; Acc",""))</f>
        <v>Vit max &amp; Acc max</v>
      </c>
      <c r="G42" s="612"/>
      <c r="H42" s="115" t="s">
        <v>14</v>
      </c>
      <c r="I42" s="115" t="s">
        <v>14</v>
      </c>
      <c r="J42" s="115" t="s">
        <v>14</v>
      </c>
      <c r="K42" s="117">
        <f ca="1">MAX(vit_xz)</f>
        <v>236.13002728479427</v>
      </c>
      <c r="L42" s="118">
        <f ca="1">MAX(acc_xz)</f>
        <v>114.63589403483726</v>
      </c>
      <c r="M42" s="116" t="s">
        <v>14</v>
      </c>
    </row>
    <row r="43" spans="1:16" x14ac:dyDescent="0.2">
      <c r="A43" s="161"/>
      <c r="B43" s="167">
        <v>549</v>
      </c>
      <c r="D43" s="162"/>
      <c r="F43" s="612" t="str">
        <f>IF(Lang="Français","Fin de Propulsion",IF(Lang="English","Motor Burn-Out",""))</f>
        <v>Fin de Propulsion</v>
      </c>
      <c r="G43" s="612"/>
      <c r="H43" s="116">
        <f ca="1">INDEX(t,MATCH("Fin de propulsion",Event,0))</f>
        <v>3.5999999999999672</v>
      </c>
      <c r="I43" s="119">
        <f ca="1">INDEX(pos_z,MATCH("Fin de propulsion",Event,0))</f>
        <v>543.44801246697205</v>
      </c>
      <c r="J43" s="119">
        <f ca="1">INDEX(pos_x,MATCH("Fin de propulsion",Event,0))</f>
        <v>57.628571503449471</v>
      </c>
      <c r="K43" s="119">
        <f ca="1">INDEX(vit_xz,MATCH("Fin de propulsion",Event,0))</f>
        <v>229.5693381776471</v>
      </c>
      <c r="L43" s="116">
        <f ca="1">INDEX(acc_xz,MATCH("Fin de propulsion",Event,0))</f>
        <v>33.041217887508708</v>
      </c>
      <c r="M43" s="116">
        <f ca="1">INDEX(BetaD,MATCH("Fin de propulsion",Event,0))</f>
        <v>83.550980724923789</v>
      </c>
    </row>
    <row r="44" spans="1:16" x14ac:dyDescent="0.2">
      <c r="A44" s="161"/>
      <c r="B44" s="166" t="str">
        <f>IF(Lang="Français","Largeur du coté","Side width")</f>
        <v>Largeur du coté</v>
      </c>
      <c r="D44" s="162"/>
      <c r="F44" s="612" t="s">
        <v>15</v>
      </c>
      <c r="G44" s="612"/>
      <c r="H44" s="118">
        <f ca="1">INDEX(t,MATCH("Apogée",Event,0))</f>
        <v>18.799999999999955</v>
      </c>
      <c r="I44" s="117">
        <f ca="1">INDEX(pos_z,MATCH("Apogée",Event,0))</f>
        <v>1926.6040134102664</v>
      </c>
      <c r="J44" s="120">
        <f ca="1">INDEX(pos_x,MATCH("Apogée",Event,0))</f>
        <v>321.92176497922156</v>
      </c>
      <c r="K44" s="120">
        <f ca="1">INDEX(vit_xz,MATCH("Apogée",Event,0))</f>
        <v>14.284654798891694</v>
      </c>
      <c r="L44" s="116">
        <f ca="1">INDEX(acc_xz,MATCH("Apogée",Event,0))</f>
        <v>9.8168677819276748</v>
      </c>
      <c r="M44" s="121">
        <f ca="1">INDEX(BetaD,MATCH("Apogée",Event,0))</f>
        <v>0.84648873934628999</v>
      </c>
    </row>
    <row r="45" spans="1:16" x14ac:dyDescent="0.2">
      <c r="A45" s="161"/>
      <c r="B45" s="168">
        <v>549</v>
      </c>
      <c r="D45" s="162"/>
      <c r="F45" s="627" t="str">
        <f>IF(Lang="Français","Impact balistique",IF(Lang="English","Balistic Impact",""))</f>
        <v>Impact balistique</v>
      </c>
      <c r="G45" s="627"/>
      <c r="H45" s="116">
        <f ca="1">INDEX(t,MATCH("Impact balistique",Event,0))</f>
        <v>41.400000000000276</v>
      </c>
      <c r="I45" s="148" t="s">
        <v>16</v>
      </c>
      <c r="J45" s="117">
        <f ca="1">INDEX(pos_x,MATCH("Impact balistique",Event,0))</f>
        <v>568.62651553779426</v>
      </c>
      <c r="K45" s="119">
        <f ca="1">INDEX(vit_xz,MATCH("Impact balistique",Event,0))</f>
        <v>135.06475175839057</v>
      </c>
      <c r="L45" s="116">
        <f ca="1">INDEX(acc_xz,MATCH("Impact balistique",Event,0))</f>
        <v>1.4200869339005153</v>
      </c>
      <c r="M45" s="116">
        <f ca="1">INDEX(BetaD,MATCH("Impact balistique",Event,0))</f>
        <v>-87.354557208991992</v>
      </c>
    </row>
    <row r="46" spans="1:16" x14ac:dyDescent="0.2">
      <c r="A46" s="161"/>
      <c r="B46" s="169" t="s">
        <v>9</v>
      </c>
      <c r="D46" s="162"/>
      <c r="F46" s="610" t="str">
        <f>IF(Lang="Français","Ouverture parachute fusée",IF(Lang="English","Rocket parachute opening",""))</f>
        <v>Ouverture parachute fusée</v>
      </c>
      <c r="G46" s="610"/>
      <c r="H46" s="122">
        <f>T_para</f>
        <v>19</v>
      </c>
      <c r="I46" s="123">
        <f ca="1">INDEX(pos_z,MATCH("Para",Event_para,0))</f>
        <v>1926.4500239828867</v>
      </c>
      <c r="J46" s="123">
        <f ca="1">INDEX(pos_x,MATCH("Para",Event_para,0))</f>
        <v>324.77682050982679</v>
      </c>
      <c r="K46" s="123">
        <f ca="1">INDEX(vit_xz,MATCH("Para",Event_para,0))</f>
        <v>14.374462777146512</v>
      </c>
      <c r="L46" s="122">
        <f ca="1">INDEX(acc_xz,MATCH("Para",Event_para,0))</f>
        <v>9.8060934511301472</v>
      </c>
      <c r="M46" s="124">
        <f ca="1">INDEX(BetaD,MATCH("Para",Event_para,0))</f>
        <v>-6.9953950098462734</v>
      </c>
    </row>
    <row r="47" spans="1:16" x14ac:dyDescent="0.2">
      <c r="A47" s="161"/>
      <c r="B47" s="174">
        <f>(4*B43*B45+B43^2)/10^6</f>
        <v>1.5070049999999999</v>
      </c>
      <c r="D47" s="162"/>
      <c r="F47" s="628" t="str">
        <f>IF(Lang="Français","Impact fusée sous para.",IF(Lang="English","Impact of rocket with para. ",""))</f>
        <v>Impact fusée sous para.</v>
      </c>
      <c r="G47" s="628"/>
      <c r="H47" s="125">
        <f ca="1">T_para+Dt_para</f>
        <v>257.24592057896245</v>
      </c>
      <c r="I47" s="127" t="s">
        <v>16</v>
      </c>
      <c r="J47" s="126" t="str">
        <f ca="1">CONCATENATE(TEXT(X_para-Dx_para,"0")," | ",TEXT(X_para+Dx_para,"0"))</f>
        <v>-866 | 1516</v>
      </c>
      <c r="K47" s="126">
        <f ca="1">V_para</f>
        <v>8.0859727600011446</v>
      </c>
      <c r="L47" s="128">
        <f>g</f>
        <v>9.81</v>
      </c>
      <c r="M47" s="128" t="s">
        <v>14</v>
      </c>
    </row>
    <row r="48" spans="1:16" x14ac:dyDescent="0.2">
      <c r="A48" s="161"/>
      <c r="D48" s="162"/>
      <c r="F48" s="626" t="str">
        <f>IF(Lang="Français","Largage du satellite",IF(Lang="English","Satellite separation",""))</f>
        <v>Largage du satellite</v>
      </c>
      <c r="G48" s="614"/>
      <c r="H48" s="122">
        <f>IF(T_satellite&lt;&gt;0,T_satellite,"")</f>
        <v>3.5</v>
      </c>
      <c r="I48" s="123">
        <f ca="1">IF(T_satellite&lt;&gt;0,INDEX(pos_z,MATCH("Satellite",Event_sat,0)),"")</f>
        <v>520.4817127137527</v>
      </c>
      <c r="J48" s="129">
        <f ca="1">IF(T_satellite&lt;&gt;0,INDEX(pos_x,MATCH("Satellite",Event_sat,0)),"")</f>
        <v>55.038153294424831</v>
      </c>
      <c r="K48" s="123">
        <f ca="1">IF(T_satellite&lt;&gt;0,INDEX(vit_xz,MATCH("Satellite",Event_sat,0)),"")</f>
        <v>232.53425817157836</v>
      </c>
      <c r="L48" s="122">
        <f ca="1">IF(T_satellite&lt;&gt;0,INDEX(acc_xz,MATCH("Satellite",Event_sat,0)),"")</f>
        <v>25.065519241209522</v>
      </c>
      <c r="M48" s="124">
        <f ca="1">IF(T_satellite&lt;&gt;0,INDEX(BetaD,MATCH("Satellite",Event_sat,0)),"")</f>
        <v>83.578250795622012</v>
      </c>
    </row>
    <row r="49" spans="1:13" x14ac:dyDescent="0.2">
      <c r="A49" s="161"/>
      <c r="D49" s="162"/>
      <c r="F49" s="623" t="str">
        <f>IF(Lang="Français","Impact du satellite",IF(Lang="English","Satellite impact",""))</f>
        <v>Impact du satellite</v>
      </c>
      <c r="G49" s="624"/>
      <c r="H49" s="125">
        <f ca="1">IF(T_satellite&lt;&gt;0,T_satellite+Dt_satellite,"")</f>
        <v>44.626714648425498</v>
      </c>
      <c r="I49" s="130" t="str">
        <f>IF(T_satellite&lt;&gt;0,"~0","")</f>
        <v>~0</v>
      </c>
      <c r="J49" s="130" t="str">
        <f ca="1">IF(T_satellite&lt;&gt;0,CONCATENATE(TEXT(X_satellite-Dx_sat,"0")," | ",TEXT(X_satellite+Dx_sat,"0")),"")</f>
        <v>-151 | 261</v>
      </c>
      <c r="K49" s="130">
        <f>IF(T_satellite&lt;&gt;0,V_satellite,"")</f>
        <v>12.655562623057198</v>
      </c>
      <c r="L49" s="128">
        <f>IF(T_satellite&lt;&gt;0,g,"")</f>
        <v>9.81</v>
      </c>
      <c r="M49" s="131" t="str">
        <f>IF(T_satellite&lt;&gt;0,"-","")</f>
        <v>-</v>
      </c>
    </row>
    <row r="50" spans="1:13" x14ac:dyDescent="0.2">
      <c r="A50" s="161"/>
      <c r="B50" s="166" t="str">
        <f>IF(Lang="Français","Rayon exterieur","Half-diameter ext")</f>
        <v>Rayon exterieur</v>
      </c>
      <c r="D50" s="162"/>
    </row>
    <row r="51" spans="1:13" x14ac:dyDescent="0.2">
      <c r="A51" s="161"/>
      <c r="B51" s="168">
        <v>299</v>
      </c>
      <c r="D51" s="162"/>
    </row>
    <row r="52" spans="1:13" x14ac:dyDescent="0.2">
      <c r="A52" s="161"/>
      <c r="B52" s="166" t="str">
        <f>IF(Lang="Français","Rayon intérieur","Half-diameter int")</f>
        <v>Rayon intérieur</v>
      </c>
      <c r="D52" s="162"/>
    </row>
    <row r="53" spans="1:13" x14ac:dyDescent="0.2">
      <c r="A53" s="161"/>
      <c r="B53" s="168">
        <v>29</v>
      </c>
      <c r="D53" s="162"/>
    </row>
    <row r="54" spans="1:13" x14ac:dyDescent="0.2">
      <c r="A54" s="161"/>
      <c r="B54" s="169" t="s">
        <v>9</v>
      </c>
      <c r="D54" s="162"/>
    </row>
    <row r="55" spans="1:13" x14ac:dyDescent="0.2">
      <c r="A55" s="161"/>
      <c r="B55" s="174">
        <f>PI()*(B51^2-B53^2)/10^6</f>
        <v>0.27821944540191207</v>
      </c>
      <c r="D55" s="162"/>
    </row>
    <row r="56" spans="1:13" x14ac:dyDescent="0.2">
      <c r="A56" s="163"/>
      <c r="B56" s="164"/>
      <c r="C56" s="164"/>
      <c r="D56" s="165"/>
    </row>
    <row r="93" spans="2:2" x14ac:dyDescent="0.2">
      <c r="B93" s="24" t="str">
        <f>IF(Lang="Français","Vitesse de descente sous parachute :",IF(Lang="English","Fall velocity over parachute:",""))</f>
        <v>Vitesse de descente sous parachute :</v>
      </c>
    </row>
    <row r="102" spans="2:7" x14ac:dyDescent="0.2">
      <c r="B102" s="24" t="str">
        <f>IF(Lang="Français","Textes pour les listes déroulantes et graphiques :","Texts for drop-down lists &amp; graphics :")</f>
        <v>Textes pour les listes déroulantes et graphiques :</v>
      </c>
      <c r="F102" s="221" t="s">
        <v>411</v>
      </c>
      <c r="G102" s="1" t="s">
        <v>418</v>
      </c>
    </row>
    <row r="103" spans="2:7" x14ac:dyDescent="0.2">
      <c r="F103" s="478">
        <f ca="1">Combustion+Depotage-9</f>
        <v>-9</v>
      </c>
      <c r="G103" s="479" t="s">
        <v>413</v>
      </c>
    </row>
    <row r="104" spans="2:7" x14ac:dyDescent="0.2">
      <c r="B104" s="1" t="s">
        <v>123</v>
      </c>
      <c r="F104" s="478">
        <f ca="1">Combustion+Depotage-7</f>
        <v>-7</v>
      </c>
      <c r="G104" s="479" t="s">
        <v>414</v>
      </c>
    </row>
    <row r="105" spans="2:7" x14ac:dyDescent="0.2">
      <c r="B105" s="1" t="s">
        <v>124</v>
      </c>
      <c r="F105" s="478">
        <f ca="1">Combustion+Depotage-5</f>
        <v>-5</v>
      </c>
      <c r="G105" s="479" t="s">
        <v>415</v>
      </c>
    </row>
    <row r="106" spans="2:7" x14ac:dyDescent="0.2">
      <c r="B106" s="1" t="str">
        <f>IF(T_para&gt;0,IF(Lang="Français","Phase ascendante","Climbing phase"),"")</f>
        <v>Phase ascendante</v>
      </c>
      <c r="F106" s="478">
        <f ca="1">Combustion+Depotage-3</f>
        <v>-3</v>
      </c>
      <c r="G106" s="479" t="s">
        <v>416</v>
      </c>
    </row>
    <row r="107" spans="2:7" x14ac:dyDescent="0.2">
      <c r="B107" s="1" t="str">
        <f>IF(Lang="Français","Descente balistique","Balistic fall")</f>
        <v>Descente balistique</v>
      </c>
      <c r="F107" s="478">
        <f ca="1">Combustion+Depotage</f>
        <v>0</v>
      </c>
      <c r="G107" s="479" t="s">
        <v>417</v>
      </c>
    </row>
    <row r="108" spans="2:7" x14ac:dyDescent="0.2">
      <c r="B108" s="1" t="str">
        <f>IF(T_para&gt;0,IF(Lang="Français","Fusée sous parachute","Rocket under parachute"),"")</f>
        <v>Fusée sous parachute</v>
      </c>
      <c r="F108" s="480" t="str">
        <f>IF(Lang="Français","autre",IF(Lang="English","other",""))</f>
        <v>autre</v>
      </c>
    </row>
    <row r="109" spans="2:7" x14ac:dyDescent="0.2">
      <c r="B109" s="1" t="str">
        <f>IF(AND(Nb_sat="1 satellite",T_satellite&gt;0),IF(Lang="Français","Satellite sous parachute","Satellite over parachute"),"")</f>
        <v/>
      </c>
    </row>
    <row r="110" spans="2:7" x14ac:dyDescent="0.2">
      <c r="B110" s="1" t="str">
        <f>IF(Lang="Français","Trajectoire (x z)","Trajectory (x z)")</f>
        <v>Trajectoire (x z)</v>
      </c>
    </row>
    <row r="111" spans="2:7" x14ac:dyDescent="0.2">
      <c r="B111" s="1" t="str">
        <f>IF(Lang="Français","Portée x [m]","Range x [m]")</f>
        <v>Portée x [m]</v>
      </c>
    </row>
    <row r="112" spans="2:7" x14ac:dyDescent="0.2">
      <c r="B112" s="1" t="str">
        <f>IF(Lang="Français","Temps [s]","Time [s]")</f>
        <v>Temps [s]</v>
      </c>
    </row>
    <row r="113" spans="2:3" x14ac:dyDescent="0.2">
      <c r="B113" s="1" t="str">
        <f>IF(Lang="Français","Altitude z  /  Temps","Altitude z  /  Time")</f>
        <v>Altitude z  /  Temps</v>
      </c>
      <c r="C113" s="1">
        <f>IF(OR(C25=F102,C25=F108),C26,C25)</f>
        <v>19</v>
      </c>
    </row>
    <row r="115" spans="2:3" x14ac:dyDescent="0.2">
      <c r="B115" s="1" t="s">
        <v>412</v>
      </c>
    </row>
    <row r="117" spans="2:3" x14ac:dyDescent="0.2">
      <c r="B117" s="24" t="str">
        <f>IF(Lang="Français","Données pour les graphiques :","Data for plots:")</f>
        <v>Données pour les graphiques :</v>
      </c>
      <c r="C117" s="211" t="s">
        <v>50</v>
      </c>
    </row>
    <row r="118" spans="2:3" x14ac:dyDescent="0.2">
      <c r="C118" s="216">
        <f ca="1">MAX(Altitude_culmi,Portee_balistique)</f>
        <v>1926.6040134102664</v>
      </c>
    </row>
    <row r="119" spans="2:3" x14ac:dyDescent="0.2">
      <c r="B119" s="210" t="s">
        <v>50</v>
      </c>
    </row>
    <row r="120" spans="2:3" x14ac:dyDescent="0.2">
      <c r="B120" s="218">
        <f ca="1">MAX(Altitude_culmi,Portee_balistique)</f>
        <v>1926.6040134102664</v>
      </c>
      <c r="C120" s="211" t="s">
        <v>48</v>
      </c>
    </row>
    <row r="121" spans="2:3" x14ac:dyDescent="0.2">
      <c r="C121" s="214">
        <f ca="1">Alt_para</f>
        <v>1926.4500239828867</v>
      </c>
    </row>
    <row r="122" spans="2:3" x14ac:dyDescent="0.2">
      <c r="B122" s="210" t="s">
        <v>52</v>
      </c>
      <c r="C122" s="214">
        <f ca="1">Alt_para/2</f>
        <v>963.22501199144335</v>
      </c>
    </row>
    <row r="123" spans="2:3" x14ac:dyDescent="0.2">
      <c r="B123" s="217">
        <f ca="1">X_para</f>
        <v>324.77682050982679</v>
      </c>
      <c r="C123" s="214">
        <v>0</v>
      </c>
    </row>
    <row r="124" spans="2:3" x14ac:dyDescent="0.2">
      <c r="B124" s="217">
        <f ca="1">X_para</f>
        <v>324.77682050982679</v>
      </c>
      <c r="C124" s="214">
        <f ca="1">Alt_para/20</f>
        <v>96.322501199144341</v>
      </c>
    </row>
    <row r="125" spans="2:3" x14ac:dyDescent="0.2">
      <c r="B125" s="217">
        <f ca="1">X_para</f>
        <v>324.77682050982679</v>
      </c>
      <c r="C125" s="214">
        <v>0</v>
      </c>
    </row>
    <row r="126" spans="2:3" x14ac:dyDescent="0.2">
      <c r="B126" s="217">
        <f ca="1">X_para+Alt_para/40</f>
        <v>372.93807110939895</v>
      </c>
      <c r="C126" s="214">
        <f ca="1">Alt_para/20</f>
        <v>96.322501199144341</v>
      </c>
    </row>
    <row r="127" spans="2:3" x14ac:dyDescent="0.2">
      <c r="B127" s="217">
        <f ca="1">X_para</f>
        <v>324.77682050982679</v>
      </c>
      <c r="C127" s="219">
        <v>0</v>
      </c>
    </row>
    <row r="128" spans="2:3" x14ac:dyDescent="0.2">
      <c r="B128" s="217">
        <f ca="1">X_para-Alt_para/40</f>
        <v>276.61556991025464</v>
      </c>
      <c r="C128" s="211" t="s">
        <v>48</v>
      </c>
    </row>
    <row r="129" spans="2:6" x14ac:dyDescent="0.2">
      <c r="B129" s="218">
        <f ca="1">X_para</f>
        <v>324.77682050982679</v>
      </c>
      <c r="C129" s="214">
        <f ca="1">Alt_para</f>
        <v>1926.4500239828867</v>
      </c>
      <c r="E129" s="232">
        <v>1</v>
      </c>
      <c r="F129" s="233" t="s">
        <v>178</v>
      </c>
    </row>
    <row r="130" spans="2:6" x14ac:dyDescent="0.2">
      <c r="B130" s="210" t="s">
        <v>51</v>
      </c>
      <c r="C130" s="214">
        <f ca="1">(C129+C131)/2</f>
        <v>963.22501199144335</v>
      </c>
      <c r="E130" s="161">
        <v>1</v>
      </c>
      <c r="F130" s="234" t="s">
        <v>179</v>
      </c>
    </row>
    <row r="131" spans="2:6" x14ac:dyDescent="0.2">
      <c r="B131" s="213">
        <f>T_para</f>
        <v>19</v>
      </c>
      <c r="C131" s="214">
        <f>0</f>
        <v>0</v>
      </c>
      <c r="E131" s="161"/>
      <c r="F131" s="241" t="s">
        <v>180</v>
      </c>
    </row>
    <row r="132" spans="2:6" x14ac:dyDescent="0.2">
      <c r="B132" s="213">
        <f ca="1">(B131+B133)/2</f>
        <v>138.12296028948123</v>
      </c>
      <c r="C132" s="214">
        <f ca="1">Alt_para-V_para*(H47-T_para)+E129*sS*Altitude_culmi/H47*zZ_fus+E130*sS/2*Altitude_culmi/H47*tT_fus</f>
        <v>45.363809353636853</v>
      </c>
      <c r="E132" s="235" t="s">
        <v>175</v>
      </c>
      <c r="F132" s="236">
        <f ca="1">T_balistique/10</f>
        <v>4.1400000000000272</v>
      </c>
    </row>
    <row r="133" spans="2:6" x14ac:dyDescent="0.2">
      <c r="B133" s="213">
        <f ca="1">H47</f>
        <v>257.24592057896245</v>
      </c>
      <c r="C133" s="214">
        <f ca="1">Alt_para-V_para*(H47-T_para)</f>
        <v>0</v>
      </c>
      <c r="E133" s="235" t="s">
        <v>176</v>
      </c>
      <c r="F133" s="236">
        <f ca="1">(H47-T_para)/H47</f>
        <v>0.92614071407920384</v>
      </c>
    </row>
    <row r="134" spans="2:6" x14ac:dyDescent="0.2">
      <c r="B134" s="213">
        <f ca="1">H47+E129*sS/2*zZ_fus-E130*sS*tT_fus</f>
        <v>255.48169802267452</v>
      </c>
      <c r="C134" s="214">
        <f ca="1">Alt_para-V_para*(H47-T_para)+E129*sS*Altitude_culmi/H47*zZ_fus-E130*sS/2*Altitude_culmi/H47*tT_fus</f>
        <v>16.647985411211991</v>
      </c>
      <c r="E134" s="237" t="s">
        <v>177</v>
      </c>
      <c r="F134" s="238">
        <f ca="1">V_para*(H47-T_para)/Alt_para</f>
        <v>0.99999999999999989</v>
      </c>
    </row>
    <row r="135" spans="2:6" x14ac:dyDescent="0.2">
      <c r="B135" s="213">
        <f ca="1">H47</f>
        <v>257.24592057896245</v>
      </c>
      <c r="C135" s="216">
        <f ca="1">Alt_para-V_para*(H47-T_para)</f>
        <v>0</v>
      </c>
    </row>
    <row r="136" spans="2:6" x14ac:dyDescent="0.2">
      <c r="B136" s="213">
        <f ca="1">H47-E129*sS/2*zZ_fus-E130*sS*tT_fus</f>
        <v>251.34169802267451</v>
      </c>
    </row>
    <row r="137" spans="2:6" x14ac:dyDescent="0.2">
      <c r="B137" s="215">
        <f ca="1">H47</f>
        <v>257.24592057896245</v>
      </c>
      <c r="C137" s="211" t="s">
        <v>49</v>
      </c>
    </row>
    <row r="138" spans="2:6" x14ac:dyDescent="0.2">
      <c r="C138" s="214" t="b">
        <f>IF(Nb_sat="1 satellite",Alt_sat)</f>
        <v>0</v>
      </c>
    </row>
    <row r="139" spans="2:6" x14ac:dyDescent="0.2">
      <c r="B139" s="210" t="s">
        <v>54</v>
      </c>
      <c r="C139" s="214" t="b">
        <f>IF(Nb_sat="1 satellite",Alt_sat*1/4)</f>
        <v>0</v>
      </c>
    </row>
    <row r="140" spans="2:6" x14ac:dyDescent="0.2">
      <c r="B140" s="217" t="b">
        <f>IF(Nb_sat="1 satellite",X_satellite)</f>
        <v>0</v>
      </c>
      <c r="C140" s="214" t="b">
        <f>IF(Nb_sat="1 satellite",0)</f>
        <v>0</v>
      </c>
    </row>
    <row r="141" spans="2:6" x14ac:dyDescent="0.2">
      <c r="B141" s="217" t="b">
        <f>IF(Nb_sat="1 satellite",X_satellite)</f>
        <v>0</v>
      </c>
      <c r="C141" s="214" t="b">
        <f>IF(Nb_sat="1 satellite",Alt_sat/20)</f>
        <v>0</v>
      </c>
    </row>
    <row r="142" spans="2:6" x14ac:dyDescent="0.2">
      <c r="B142" s="217" t="b">
        <f>IF(Nb_sat="1 satellite",X_satellite)</f>
        <v>0</v>
      </c>
      <c r="C142" s="214" t="b">
        <f>IF(Nb_sat="1 satellite",0)</f>
        <v>0</v>
      </c>
    </row>
    <row r="143" spans="2:6" x14ac:dyDescent="0.2">
      <c r="B143" s="217" t="b">
        <f>IF(Nb_sat="1 satellite",X_satellite+Alt_sat/40)</f>
        <v>0</v>
      </c>
      <c r="C143" s="214" t="b">
        <f>IF(Nb_sat="1 satellite",Alt_sat/20)</f>
        <v>0</v>
      </c>
    </row>
    <row r="144" spans="2:6" x14ac:dyDescent="0.2">
      <c r="B144" s="217" t="b">
        <f>IF(Nb_sat="1 satellite",X_satellite)</f>
        <v>0</v>
      </c>
      <c r="C144" s="214" t="b">
        <f>IF(Nb_sat="1 satellite",0)</f>
        <v>0</v>
      </c>
    </row>
    <row r="145" spans="2:6" x14ac:dyDescent="0.2">
      <c r="B145" s="217" t="b">
        <f>IF(Nb_sat="1 satellite",X_satellite-Alt_sat/40)</f>
        <v>0</v>
      </c>
      <c r="C145" s="211" t="s">
        <v>49</v>
      </c>
    </row>
    <row r="146" spans="2:6" x14ac:dyDescent="0.2">
      <c r="B146" s="218" t="b">
        <f>IF(Nb_sat="1 satellite",X_satellite)</f>
        <v>0</v>
      </c>
      <c r="C146" s="214" t="b">
        <f>IF(Nb_sat="1 satellite",Alt_sat)</f>
        <v>0</v>
      </c>
      <c r="D146" s="221"/>
    </row>
    <row r="147" spans="2:6" x14ac:dyDescent="0.2">
      <c r="B147" s="210" t="s">
        <v>53</v>
      </c>
      <c r="C147" s="214">
        <f>(C146+C148)/2</f>
        <v>0</v>
      </c>
      <c r="D147" s="221"/>
    </row>
    <row r="148" spans="2:6" x14ac:dyDescent="0.2">
      <c r="B148" s="213" t="b">
        <f>IF(Nb_sat="1 satellite",T_satellite)</f>
        <v>0</v>
      </c>
      <c r="C148" s="214" t="b">
        <f>IF(Nb_sat="1 satellite",0)</f>
        <v>0</v>
      </c>
    </row>
    <row r="149" spans="2:6" x14ac:dyDescent="0.2">
      <c r="B149" s="213">
        <f>(B148+B150)/2</f>
        <v>0</v>
      </c>
      <c r="C149" s="214" t="b">
        <f>IF(Nb_sat="1 satellite",Alt_sat-V_satellite*(H49-T_satellite)+E129*sS*Altitude_culmi/H49*zZ_sat+E130*sS/2*Altitude_culmi/H49*tT_sat)</f>
        <v>0</v>
      </c>
      <c r="D149" s="221"/>
    </row>
    <row r="150" spans="2:6" x14ac:dyDescent="0.2">
      <c r="B150" s="213" t="b">
        <f>IF(Nb_sat="1 satellite",H49)</f>
        <v>0</v>
      </c>
      <c r="C150" s="214" t="b">
        <f>IF(Nb_sat="1 satellite",0)</f>
        <v>0</v>
      </c>
      <c r="E150" s="239" t="s">
        <v>176</v>
      </c>
      <c r="F150" s="240">
        <f ca="1">(T_balistique-T_satellite)/T_balistique</f>
        <v>0.91545893719806815</v>
      </c>
    </row>
    <row r="151" spans="2:6" x14ac:dyDescent="0.2">
      <c r="B151" s="213" t="b">
        <f>IF(Nb_sat="1 satellite",H49+E129*sS/2*zZ_sat-E130*sS*tT_sat)</f>
        <v>0</v>
      </c>
      <c r="C151" s="214" t="b">
        <f>IF(Nb_sat="1 satellite",Alt_sat-V_satellite*(H49-T_satellite)+E129*sS*Altitude_culmi/H49*zZ_sat-E130*sS/2*Altitude_culmi/H49*tT_sat)</f>
        <v>0</v>
      </c>
      <c r="E151" s="237" t="s">
        <v>177</v>
      </c>
      <c r="F151" s="238">
        <f ca="1">V_satellite*(T_balistique-T_satellite)/Alt_sat</f>
        <v>0.92154212472333352</v>
      </c>
    </row>
    <row r="152" spans="2:6" x14ac:dyDescent="0.2">
      <c r="B152" s="213" t="b">
        <f>IF(Nb_sat="1 satellite",H49)</f>
        <v>0</v>
      </c>
      <c r="C152" s="216" t="b">
        <f>IF(Nb_sat="1 satellite",0)</f>
        <v>0</v>
      </c>
    </row>
    <row r="153" spans="2:6" x14ac:dyDescent="0.2">
      <c r="B153" s="213" t="b">
        <f>IF(Nb_sat="1 satellite",H49-sS/2*zZ_sat-E130*sS*tT_sat)</f>
        <v>0</v>
      </c>
    </row>
    <row r="154" spans="2:6" x14ac:dyDescent="0.2">
      <c r="B154" s="215" t="b">
        <f>IF(Nb_sat="1 satellite",H49)</f>
        <v>0</v>
      </c>
      <c r="C154" s="228" t="s">
        <v>29</v>
      </c>
      <c r="D154" s="211" t="s">
        <v>3</v>
      </c>
    </row>
    <row r="155" spans="2:6" x14ac:dyDescent="0.2">
      <c r="C155" s="82">
        <f ca="1">Alt_para/2</f>
        <v>963.22501199144335</v>
      </c>
      <c r="D155" s="214">
        <f ca="1">X_para/4</f>
        <v>81.194205127456698</v>
      </c>
    </row>
    <row r="156" spans="2:6" x14ac:dyDescent="0.2">
      <c r="B156" s="210" t="s">
        <v>2</v>
      </c>
      <c r="C156" s="230">
        <f ca="1">Altitude_culmi/2</f>
        <v>963.30200670513318</v>
      </c>
      <c r="D156" s="216">
        <f ca="1">X_culmi+(Portee_balistique-X_culmi)*2/3</f>
        <v>486.3915986849367</v>
      </c>
    </row>
    <row r="157" spans="2:6" x14ac:dyDescent="0.2">
      <c r="B157" s="231">
        <f>T_para/4</f>
        <v>4.75</v>
      </c>
    </row>
    <row r="158" spans="2:6" x14ac:dyDescent="0.2">
      <c r="B158" s="229">
        <f ca="1">Temps_culmi + (T_balistique-Temps_culmi)/2</f>
        <v>30.100000000000115</v>
      </c>
      <c r="C158" s="228" t="s">
        <v>306</v>
      </c>
      <c r="D158" s="422" t="s">
        <v>308</v>
      </c>
      <c r="E158" s="422"/>
      <c r="F158" s="423" t="s">
        <v>308</v>
      </c>
    </row>
    <row r="159" spans="2:6" x14ac:dyDescent="0.2">
      <c r="C159" s="5">
        <v>0</v>
      </c>
      <c r="D159" s="82">
        <f t="shared" ref="D159:D174" ca="1" si="0">X_culmi+C159</f>
        <v>321.92176497922156</v>
      </c>
      <c r="E159" s="82"/>
      <c r="F159" s="214">
        <f t="shared" ref="F159:F174" ca="1" si="1">X_culmi-C159</f>
        <v>321.92176497922156</v>
      </c>
    </row>
    <row r="160" spans="2:6" x14ac:dyDescent="0.2">
      <c r="B160" s="210" t="s">
        <v>307</v>
      </c>
      <c r="C160" s="5">
        <v>23</v>
      </c>
      <c r="D160" s="82">
        <f t="shared" ca="1" si="0"/>
        <v>344.92176497922156</v>
      </c>
      <c r="E160" s="82"/>
      <c r="F160" s="214">
        <f t="shared" ca="1" si="1"/>
        <v>298.92176497922156</v>
      </c>
    </row>
    <row r="161" spans="2:6" x14ac:dyDescent="0.2">
      <c r="B161" s="231" t="e">
        <f ca="1">IF(AND(Altitude_culmi&gt;80, Altitude_culmi&lt;=350), 49, NA())</f>
        <v>#N/A</v>
      </c>
      <c r="C161" s="5">
        <v>23</v>
      </c>
      <c r="D161" s="82">
        <f t="shared" ca="1" si="0"/>
        <v>344.92176497922156</v>
      </c>
      <c r="E161" s="82"/>
      <c r="F161" s="214">
        <f t="shared" ca="1" si="1"/>
        <v>298.92176497922156</v>
      </c>
    </row>
    <row r="162" spans="2:6" x14ac:dyDescent="0.2">
      <c r="B162" s="231" t="e">
        <f ca="1">IF(AND(Altitude_culmi&gt;80, Altitude_culmi&lt;=350), 49, NA())</f>
        <v>#N/A</v>
      </c>
      <c r="C162" s="5">
        <v>0</v>
      </c>
      <c r="D162" s="82">
        <f t="shared" ca="1" si="0"/>
        <v>321.92176497922156</v>
      </c>
      <c r="E162" s="82"/>
      <c r="F162" s="214">
        <f t="shared" ca="1" si="1"/>
        <v>321.92176497922156</v>
      </c>
    </row>
    <row r="163" spans="2:6" x14ac:dyDescent="0.2">
      <c r="B163" s="231" t="e">
        <f ca="1">IF(AND(Altitude_culmi&gt;80, Altitude_culmi&lt;=350), 43, NA())</f>
        <v>#N/A</v>
      </c>
      <c r="C163" s="5">
        <v>23</v>
      </c>
      <c r="D163" s="82">
        <f t="shared" ca="1" si="0"/>
        <v>344.92176497922156</v>
      </c>
      <c r="E163" s="82"/>
      <c r="F163" s="214">
        <f t="shared" ca="1" si="1"/>
        <v>298.92176497922156</v>
      </c>
    </row>
    <row r="164" spans="2:6" x14ac:dyDescent="0.2">
      <c r="B164" s="231" t="e">
        <f ca="1">IF(AND(Altitude_culmi&gt;80, Altitude_culmi&lt;=350), 43, NA())</f>
        <v>#N/A</v>
      </c>
      <c r="C164" s="5">
        <v>23</v>
      </c>
      <c r="D164" s="82">
        <f t="shared" ca="1" si="0"/>
        <v>344.92176497922156</v>
      </c>
      <c r="E164" s="82"/>
      <c r="F164" s="214">
        <f t="shared" ca="1" si="1"/>
        <v>298.92176497922156</v>
      </c>
    </row>
    <row r="165" spans="2:6" x14ac:dyDescent="0.2">
      <c r="B165" s="231" t="e">
        <f ca="1">IF(AND(Altitude_culmi&gt;80, Altitude_culmi&lt;=350), 43, NA())</f>
        <v>#N/A</v>
      </c>
      <c r="C165" s="5">
        <v>8</v>
      </c>
      <c r="D165" s="82">
        <f t="shared" ca="1" si="0"/>
        <v>329.92176497922156</v>
      </c>
      <c r="E165" s="82"/>
      <c r="F165" s="214">
        <f t="shared" ca="1" si="1"/>
        <v>313.92176497922156</v>
      </c>
    </row>
    <row r="166" spans="2:6" x14ac:dyDescent="0.2">
      <c r="B166" s="231" t="e">
        <f ca="1">IF(AND(Altitude_culmi&gt;80, Altitude_culmi&lt;=350), 0.5, NA())</f>
        <v>#N/A</v>
      </c>
      <c r="C166" s="5">
        <v>8</v>
      </c>
      <c r="D166" s="82">
        <f t="shared" ca="1" si="0"/>
        <v>329.92176497922156</v>
      </c>
      <c r="E166" s="82"/>
      <c r="F166" s="214">
        <f t="shared" ca="1" si="1"/>
        <v>313.92176497922156</v>
      </c>
    </row>
    <row r="167" spans="2:6" x14ac:dyDescent="0.2">
      <c r="B167" s="231" t="e">
        <f ca="1">IF(AND(Altitude_culmi&gt;80, Altitude_culmi&lt;=350), 0.5, NA())</f>
        <v>#N/A</v>
      </c>
      <c r="C167" s="5">
        <v>23</v>
      </c>
      <c r="D167" s="82">
        <f t="shared" ca="1" si="0"/>
        <v>344.92176497922156</v>
      </c>
      <c r="E167" s="82"/>
      <c r="F167" s="214">
        <f t="shared" ca="1" si="1"/>
        <v>298.92176497922156</v>
      </c>
    </row>
    <row r="168" spans="2:6" x14ac:dyDescent="0.2">
      <c r="B168" s="231" t="e">
        <f ca="1">IF(AND(Altitude_culmi&gt;80, Altitude_culmi&lt;=350), 27, NA())</f>
        <v>#N/A</v>
      </c>
      <c r="C168" s="5">
        <v>8</v>
      </c>
      <c r="D168" s="82">
        <f t="shared" ca="1" si="0"/>
        <v>329.92176497922156</v>
      </c>
      <c r="E168" s="82"/>
      <c r="F168" s="214">
        <f t="shared" ca="1" si="1"/>
        <v>313.92176497922156</v>
      </c>
    </row>
    <row r="169" spans="2:6" x14ac:dyDescent="0.2">
      <c r="B169" s="231" t="e">
        <f ca="1">IF(AND(Altitude_culmi&gt;80, Altitude_culmi&lt;=350), 27, NA())</f>
        <v>#N/A</v>
      </c>
      <c r="C169" s="5">
        <v>7.6</v>
      </c>
      <c r="D169" s="82">
        <f t="shared" ca="1" si="0"/>
        <v>329.52176497922159</v>
      </c>
      <c r="E169" s="82"/>
      <c r="F169" s="214">
        <f t="shared" ca="1" si="1"/>
        <v>314.32176497922154</v>
      </c>
    </row>
    <row r="170" spans="2:6" x14ac:dyDescent="0.2">
      <c r="B170" s="231" t="e">
        <f ca="1">IF(AND(Altitude_culmi&gt;80, Altitude_culmi&lt;=350), 27, NA())</f>
        <v>#N/A</v>
      </c>
      <c r="C170" s="5">
        <v>6.8</v>
      </c>
      <c r="D170" s="82">
        <f t="shared" ca="1" si="0"/>
        <v>328.72176497922158</v>
      </c>
      <c r="E170" s="82"/>
      <c r="F170" s="214">
        <f t="shared" ca="1" si="1"/>
        <v>315.12176497922155</v>
      </c>
    </row>
    <row r="171" spans="2:6" x14ac:dyDescent="0.2">
      <c r="B171" s="231" t="e">
        <f ca="1">IF(AND(Altitude_culmi&gt;80, Altitude_culmi&lt;=350), 29, NA())</f>
        <v>#N/A</v>
      </c>
      <c r="C171" s="5">
        <v>6</v>
      </c>
      <c r="D171" s="82">
        <f t="shared" ca="1" si="0"/>
        <v>327.92176497922156</v>
      </c>
      <c r="E171" s="82"/>
      <c r="F171" s="214">
        <f t="shared" ca="1" si="1"/>
        <v>315.92176497922156</v>
      </c>
    </row>
    <row r="172" spans="2:6" x14ac:dyDescent="0.2">
      <c r="B172" s="231" t="e">
        <f ca="1">IF(AND(Altitude_culmi&gt;80, Altitude_culmi&lt;=350), 31, NA())</f>
        <v>#N/A</v>
      </c>
      <c r="C172" s="5">
        <v>5</v>
      </c>
      <c r="D172" s="82">
        <f t="shared" ca="1" si="0"/>
        <v>326.92176497922156</v>
      </c>
      <c r="E172" s="82"/>
      <c r="F172" s="214">
        <f t="shared" ca="1" si="1"/>
        <v>316.92176497922156</v>
      </c>
    </row>
    <row r="173" spans="2:6" x14ac:dyDescent="0.2">
      <c r="B173" s="231" t="e">
        <f ca="1">IF(AND(Altitude_culmi&gt;80, Altitude_culmi&lt;=350), 32, NA())</f>
        <v>#N/A</v>
      </c>
      <c r="C173" s="5">
        <v>3.8</v>
      </c>
      <c r="D173" s="82">
        <f t="shared" ca="1" si="0"/>
        <v>325.72176497922158</v>
      </c>
      <c r="E173" s="82"/>
      <c r="F173" s="214">
        <f t="shared" ca="1" si="1"/>
        <v>318.12176497922155</v>
      </c>
    </row>
    <row r="174" spans="2:6" x14ac:dyDescent="0.2">
      <c r="B174" s="231" t="e">
        <f ca="1">IF(AND(Altitude_culmi&gt;80, Altitude_culmi&lt;=350), 33, NA())</f>
        <v>#N/A</v>
      </c>
      <c r="C174" s="421">
        <v>0</v>
      </c>
      <c r="D174" s="230">
        <f t="shared" ca="1" si="0"/>
        <v>321.92176497922156</v>
      </c>
      <c r="E174" s="230"/>
      <c r="F174" s="216">
        <f t="shared" ca="1" si="1"/>
        <v>321.92176497922156</v>
      </c>
    </row>
    <row r="175" spans="2:6" x14ac:dyDescent="0.2">
      <c r="B175" s="231" t="e">
        <f ca="1">IF(AND(Altitude_culmi&gt;80, Altitude_culmi&lt;=350), 34, NA())</f>
        <v>#N/A</v>
      </c>
    </row>
    <row r="176" spans="2:6" x14ac:dyDescent="0.2">
      <c r="B176" s="229" t="e">
        <f ca="1">IF(AND(Altitude_culmi&gt;80, Altitude_culmi&lt;=350), 35, NA())</f>
        <v>#N/A</v>
      </c>
      <c r="C176" s="228" t="s">
        <v>310</v>
      </c>
      <c r="D176" s="228" t="s">
        <v>311</v>
      </c>
      <c r="E176" s="228"/>
      <c r="F176" s="211" t="s">
        <v>311</v>
      </c>
    </row>
    <row r="177" spans="2:6" x14ac:dyDescent="0.2">
      <c r="C177" s="5">
        <v>0</v>
      </c>
      <c r="D177" s="82">
        <f t="shared" ref="D177:D197" ca="1" si="2">X_culmi+C177</f>
        <v>321.92176497922156</v>
      </c>
      <c r="E177" s="82"/>
      <c r="F177" s="214">
        <f t="shared" ref="F177:F197" ca="1" si="3">X_culmi-C177</f>
        <v>321.92176497922156</v>
      </c>
    </row>
    <row r="178" spans="2:6" x14ac:dyDescent="0.2">
      <c r="B178" s="210" t="s">
        <v>309</v>
      </c>
      <c r="C178" s="5">
        <v>0</v>
      </c>
      <c r="D178" s="82">
        <f t="shared" ca="1" si="2"/>
        <v>321.92176497922156</v>
      </c>
      <c r="E178" s="82"/>
      <c r="F178" s="214">
        <f t="shared" ca="1" si="3"/>
        <v>321.92176497922156</v>
      </c>
    </row>
    <row r="179" spans="2:6" x14ac:dyDescent="0.2">
      <c r="B179" s="231">
        <f ca="1">IF(Altitude_culmi&gt;350, 324, NA())</f>
        <v>324</v>
      </c>
      <c r="C179" s="5">
        <v>10</v>
      </c>
      <c r="D179" s="82">
        <f t="shared" ca="1" si="2"/>
        <v>331.92176497922156</v>
      </c>
      <c r="E179" s="82"/>
      <c r="F179" s="214">
        <f t="shared" ca="1" si="3"/>
        <v>311.92176497922156</v>
      </c>
    </row>
    <row r="180" spans="2:6" x14ac:dyDescent="0.2">
      <c r="B180" s="231">
        <f ca="1">IF(Altitude_culmi&gt;350, 300, NA())</f>
        <v>300</v>
      </c>
      <c r="C180" s="5">
        <v>0</v>
      </c>
      <c r="D180" s="82">
        <f t="shared" ca="1" si="2"/>
        <v>321.92176497922156</v>
      </c>
      <c r="E180" s="82"/>
      <c r="F180" s="214">
        <f t="shared" ca="1" si="3"/>
        <v>321.92176497922156</v>
      </c>
    </row>
    <row r="181" spans="2:6" x14ac:dyDescent="0.2">
      <c r="B181" s="231">
        <f ca="1">IF(Altitude_culmi&gt;350, 280, NA())</f>
        <v>280</v>
      </c>
      <c r="C181" s="5">
        <v>10</v>
      </c>
      <c r="D181" s="82">
        <f t="shared" ca="1" si="2"/>
        <v>331.92176497922156</v>
      </c>
      <c r="E181" s="82"/>
      <c r="F181" s="214">
        <f t="shared" ca="1" si="3"/>
        <v>311.92176497922156</v>
      </c>
    </row>
    <row r="182" spans="2:6" x14ac:dyDescent="0.2">
      <c r="B182" s="231">
        <f ca="1">IF(Altitude_culmi&gt;350, 280, NA())</f>
        <v>280</v>
      </c>
      <c r="C182" s="5">
        <v>13</v>
      </c>
      <c r="D182" s="82">
        <f t="shared" ca="1" si="2"/>
        <v>334.92176497922156</v>
      </c>
      <c r="E182" s="82"/>
      <c r="F182" s="214">
        <f t="shared" ca="1" si="3"/>
        <v>308.92176497922156</v>
      </c>
    </row>
    <row r="183" spans="2:6" x14ac:dyDescent="0.2">
      <c r="B183" s="231">
        <f ca="1">IF(Altitude_culmi&gt;350, 280, NA())</f>
        <v>280</v>
      </c>
      <c r="C183" s="5">
        <v>17</v>
      </c>
      <c r="D183" s="82">
        <f t="shared" ca="1" si="2"/>
        <v>338.92176497922156</v>
      </c>
      <c r="E183" s="82"/>
      <c r="F183" s="214">
        <f t="shared" ca="1" si="3"/>
        <v>304.92176497922156</v>
      </c>
    </row>
    <row r="184" spans="2:6" x14ac:dyDescent="0.2">
      <c r="B184" s="231">
        <f ca="1">IF(Altitude_culmi&gt;350, 200, NA())</f>
        <v>200</v>
      </c>
      <c r="C184" s="5">
        <v>20</v>
      </c>
      <c r="D184" s="82">
        <f t="shared" ca="1" si="2"/>
        <v>341.92176497922156</v>
      </c>
      <c r="E184" s="82"/>
      <c r="F184" s="214">
        <f t="shared" ca="1" si="3"/>
        <v>301.92176497922156</v>
      </c>
    </row>
    <row r="185" spans="2:6" x14ac:dyDescent="0.2">
      <c r="B185" s="231">
        <f ca="1">IF(Altitude_culmi&gt;350, 160, NA())</f>
        <v>160</v>
      </c>
      <c r="C185" s="5">
        <v>25</v>
      </c>
      <c r="D185" s="82">
        <f t="shared" ca="1" si="2"/>
        <v>346.92176497922156</v>
      </c>
      <c r="E185" s="82"/>
      <c r="F185" s="214">
        <f t="shared" ca="1" si="3"/>
        <v>296.92176497922156</v>
      </c>
    </row>
    <row r="186" spans="2:6" x14ac:dyDescent="0.2">
      <c r="B186" s="231">
        <f ca="1">IF(Altitude_culmi&gt;350, 115, NA())</f>
        <v>115</v>
      </c>
      <c r="C186" s="5">
        <v>30</v>
      </c>
      <c r="D186" s="82">
        <f t="shared" ca="1" si="2"/>
        <v>351.92176497922156</v>
      </c>
      <c r="E186" s="82"/>
      <c r="F186" s="214">
        <f t="shared" ca="1" si="3"/>
        <v>291.92176497922156</v>
      </c>
    </row>
    <row r="187" spans="2:6" x14ac:dyDescent="0.2">
      <c r="B187" s="231">
        <f ca="1">IF(Altitude_culmi&gt;350, 90, NA())</f>
        <v>90</v>
      </c>
      <c r="C187" s="5">
        <v>36</v>
      </c>
      <c r="D187" s="82">
        <f t="shared" ca="1" si="2"/>
        <v>357.92176497922156</v>
      </c>
      <c r="E187" s="82"/>
      <c r="F187" s="214">
        <f t="shared" ca="1" si="3"/>
        <v>285.92176497922156</v>
      </c>
    </row>
    <row r="188" spans="2:6" x14ac:dyDescent="0.2">
      <c r="B188" s="231">
        <f ca="1">IF(Altitude_culmi&gt;350, 57, NA())</f>
        <v>57</v>
      </c>
      <c r="C188" s="5">
        <v>48</v>
      </c>
      <c r="D188" s="82">
        <f t="shared" ca="1" si="2"/>
        <v>369.92176497922156</v>
      </c>
      <c r="E188" s="82"/>
      <c r="F188" s="214">
        <f t="shared" ca="1" si="3"/>
        <v>273.92176497922156</v>
      </c>
    </row>
    <row r="189" spans="2:6" x14ac:dyDescent="0.2">
      <c r="B189" s="231">
        <f ca="1">IF(Altitude_culmi&gt;350, 40, NA())</f>
        <v>40</v>
      </c>
      <c r="C189" s="5">
        <v>62</v>
      </c>
      <c r="D189" s="82">
        <f t="shared" ca="1" si="2"/>
        <v>383.92176497922156</v>
      </c>
      <c r="E189" s="82"/>
      <c r="F189" s="214">
        <f t="shared" ca="1" si="3"/>
        <v>259.92176497922156</v>
      </c>
    </row>
    <row r="190" spans="2:6" x14ac:dyDescent="0.2">
      <c r="B190" s="231">
        <f ca="1">IF(Altitude_culmi&gt;350, 20, NA())</f>
        <v>20</v>
      </c>
      <c r="C190" s="5">
        <v>37</v>
      </c>
      <c r="D190" s="82">
        <f t="shared" ca="1" si="2"/>
        <v>358.92176497922156</v>
      </c>
      <c r="E190" s="82"/>
      <c r="F190" s="214">
        <f t="shared" ca="1" si="3"/>
        <v>284.92176497922156</v>
      </c>
    </row>
    <row r="191" spans="2:6" x14ac:dyDescent="0.2">
      <c r="B191" s="231">
        <f ca="1">IF(Altitude_culmi&gt;350, 0.5, NA())</f>
        <v>0.5</v>
      </c>
      <c r="C191" s="5">
        <v>30</v>
      </c>
      <c r="D191" s="82">
        <f t="shared" ca="1" si="2"/>
        <v>351.92176497922156</v>
      </c>
      <c r="E191" s="82"/>
      <c r="F191" s="214">
        <f t="shared" ca="1" si="3"/>
        <v>291.92176497922156</v>
      </c>
    </row>
    <row r="192" spans="2:6" x14ac:dyDescent="0.2">
      <c r="B192" s="231">
        <f ca="1">IF(Altitude_culmi&gt;350, 0.5, NA())</f>
        <v>0.5</v>
      </c>
      <c r="C192" s="5">
        <v>15</v>
      </c>
      <c r="D192" s="82">
        <f t="shared" ca="1" si="2"/>
        <v>336.92176497922156</v>
      </c>
      <c r="E192" s="82"/>
      <c r="F192" s="214">
        <f t="shared" ca="1" si="3"/>
        <v>306.92176497922156</v>
      </c>
    </row>
    <row r="193" spans="2:6" x14ac:dyDescent="0.2">
      <c r="B193" s="231">
        <f ca="1">IF(Altitude_culmi&gt;350, 15, NA())</f>
        <v>15</v>
      </c>
      <c r="C193" s="5">
        <v>0</v>
      </c>
      <c r="D193" s="82">
        <f t="shared" ca="1" si="2"/>
        <v>321.92176497922156</v>
      </c>
      <c r="E193" s="82"/>
      <c r="F193" s="214">
        <f t="shared" ca="1" si="3"/>
        <v>321.92176497922156</v>
      </c>
    </row>
    <row r="194" spans="2:6" x14ac:dyDescent="0.2">
      <c r="B194" s="231">
        <f ca="1">IF(Altitude_culmi&gt;350, 30, NA())</f>
        <v>30</v>
      </c>
      <c r="C194" s="5">
        <v>0</v>
      </c>
      <c r="D194" s="82">
        <f t="shared" ca="1" si="2"/>
        <v>321.92176497922156</v>
      </c>
      <c r="E194" s="82"/>
      <c r="F194" s="214">
        <f t="shared" ca="1" si="3"/>
        <v>321.92176497922156</v>
      </c>
    </row>
    <row r="195" spans="2:6" x14ac:dyDescent="0.2">
      <c r="B195" s="231">
        <f ca="1">IF(Altitude_culmi&gt;350, 37, NA())</f>
        <v>37</v>
      </c>
      <c r="C195" s="5">
        <v>17</v>
      </c>
      <c r="D195" s="82">
        <f t="shared" ca="1" si="2"/>
        <v>338.92176497922156</v>
      </c>
      <c r="E195" s="82"/>
      <c r="F195" s="214">
        <f t="shared" ca="1" si="3"/>
        <v>304.92176497922156</v>
      </c>
    </row>
    <row r="196" spans="2:6" x14ac:dyDescent="0.2">
      <c r="B196" s="231">
        <f ca="1">IF(Altitude_culmi&gt;350, 67, NA())</f>
        <v>67</v>
      </c>
      <c r="C196" s="5">
        <v>11</v>
      </c>
      <c r="D196" s="82">
        <f t="shared" ca="1" si="2"/>
        <v>332.92176497922156</v>
      </c>
      <c r="E196" s="82"/>
      <c r="F196" s="214">
        <f t="shared" ca="1" si="3"/>
        <v>310.92176497922156</v>
      </c>
    </row>
    <row r="197" spans="2:6" x14ac:dyDescent="0.2">
      <c r="B197" s="231">
        <f ca="1">IF(Altitude_culmi&gt;350, 67, NA())</f>
        <v>67</v>
      </c>
      <c r="C197" s="421">
        <v>0</v>
      </c>
      <c r="D197" s="230">
        <f t="shared" ca="1" si="2"/>
        <v>321.92176497922156</v>
      </c>
      <c r="E197" s="230"/>
      <c r="F197" s="216">
        <f t="shared" ca="1" si="3"/>
        <v>321.92176497922156</v>
      </c>
    </row>
    <row r="198" spans="2:6" x14ac:dyDescent="0.2">
      <c r="B198" s="231">
        <f ca="1">IF(Altitude_culmi&gt;350, 100, NA())</f>
        <v>100</v>
      </c>
    </row>
    <row r="199" spans="2:6" x14ac:dyDescent="0.2">
      <c r="B199" s="229">
        <f ca="1">IF(Altitude_culmi&gt;350, 100, NA())</f>
        <v>100</v>
      </c>
    </row>
  </sheetData>
  <sheetProtection password="C6AC" sheet="1"/>
  <protectedRanges>
    <protectedRange sqref="C25" name="Plage1"/>
  </protectedRanges>
  <mergeCells count="41">
    <mergeCell ref="F49:G49"/>
    <mergeCell ref="F40:G40"/>
    <mergeCell ref="F41:G41"/>
    <mergeCell ref="F42:G42"/>
    <mergeCell ref="F43:G43"/>
    <mergeCell ref="F48:G48"/>
    <mergeCell ref="F44:G44"/>
    <mergeCell ref="F45:G45"/>
    <mergeCell ref="F47:G47"/>
    <mergeCell ref="F46:G46"/>
    <mergeCell ref="C15:D15"/>
    <mergeCell ref="C10:D10"/>
    <mergeCell ref="C19:D19"/>
    <mergeCell ref="C20:D20"/>
    <mergeCell ref="C11:D11"/>
    <mergeCell ref="C13:D13"/>
    <mergeCell ref="C14:D14"/>
    <mergeCell ref="C18:D18"/>
    <mergeCell ref="C22:D22"/>
    <mergeCell ref="C17:D17"/>
    <mergeCell ref="F23:G23"/>
    <mergeCell ref="F27:G27"/>
    <mergeCell ref="F26:G26"/>
    <mergeCell ref="F24:G24"/>
    <mergeCell ref="F25:G25"/>
    <mergeCell ref="H33:I33"/>
    <mergeCell ref="H32:I32"/>
    <mergeCell ref="F28:G28"/>
    <mergeCell ref="H31:I31"/>
    <mergeCell ref="A38:D38"/>
    <mergeCell ref="H34:I34"/>
    <mergeCell ref="F34:G34"/>
    <mergeCell ref="F33:G33"/>
    <mergeCell ref="F32:G32"/>
    <mergeCell ref="F38:G38"/>
    <mergeCell ref="C2:D3"/>
    <mergeCell ref="C7:D7"/>
    <mergeCell ref="C8:D8"/>
    <mergeCell ref="C9:D9"/>
    <mergeCell ref="C6:D6"/>
    <mergeCell ref="C4:D4"/>
  </mergeCells>
  <phoneticPr fontId="8" type="noConversion"/>
  <conditionalFormatting sqref="B26">
    <cfRule type="expression" dxfId="26" priority="89" stopIfTrue="1">
      <formula>NOT(OR(C25=F108,C25=F102,Nb_sat="1 satellite"))</formula>
    </cfRule>
  </conditionalFormatting>
  <conditionalFormatting sqref="C26">
    <cfRule type="expression" dxfId="25" priority="91" stopIfTrue="1">
      <formula>NOT(OR(C25=F108,C25=F102))</formula>
    </cfRule>
  </conditionalFormatting>
  <conditionalFormatting sqref="C30">
    <cfRule type="cellIs" dxfId="24" priority="42" stopIfTrue="1" operator="notBetween">
      <formula>5</formula>
      <formula>15</formula>
    </cfRule>
  </conditionalFormatting>
  <conditionalFormatting sqref="D24">
    <cfRule type="expression" dxfId="23" priority="39" stopIfTrue="1">
      <formula>Nb_sat="0 satellite"</formula>
    </cfRule>
  </conditionalFormatting>
  <conditionalFormatting sqref="D25">
    <cfRule type="expression" dxfId="22" priority="2" stopIfTrue="1">
      <formula>Nb_sat="0 satellite"</formula>
    </cfRule>
  </conditionalFormatting>
  <conditionalFormatting sqref="D26:D29 D31:D33">
    <cfRule type="expression" dxfId="21" priority="59" stopIfTrue="1">
      <formula>Nb_sat="0 satellite"</formula>
    </cfRule>
  </conditionalFormatting>
  <conditionalFormatting sqref="D30">
    <cfRule type="expression" dxfId="20" priority="40" stopIfTrue="1">
      <formula>Nb_sat="0 satellite"</formula>
    </cfRule>
    <cfRule type="cellIs" dxfId="19" priority="49" stopIfTrue="1" operator="notBetween">
      <formula>5</formula>
      <formula>15</formula>
    </cfRule>
  </conditionalFormatting>
  <conditionalFormatting sqref="F25">
    <cfRule type="expression" dxfId="18" priority="26" stopIfTrue="1">
      <formula>Nb_sat="0 satellite"</formula>
    </cfRule>
  </conditionalFormatting>
  <conditionalFormatting sqref="F34:I34 F48:M48">
    <cfRule type="expression" dxfId="17" priority="22" stopIfTrue="1">
      <formula>Nb_sat="0 satellite"</formula>
    </cfRule>
  </conditionalFormatting>
  <conditionalFormatting sqref="F49:M49">
    <cfRule type="expression" dxfId="16" priority="21" stopIfTrue="1">
      <formula>Nb_sat="0 satellite"</formula>
    </cfRule>
  </conditionalFormatting>
  <conditionalFormatting sqref="H27 H46">
    <cfRule type="expression" dxfId="15" priority="4" stopIfTrue="1">
      <formula>ABS(Temps_culmi-T_para)&gt;2</formula>
    </cfRule>
  </conditionalFormatting>
  <conditionalFormatting sqref="H32:I32">
    <cfRule type="cellIs" dxfId="14" priority="14" stopIfTrue="1" operator="equal">
      <formula>"Brun/Orange…"</formula>
    </cfRule>
  </conditionalFormatting>
  <conditionalFormatting sqref="H33:I33">
    <cfRule type="cellIs" dxfId="13" priority="13" stopIfTrue="1" operator="equal">
      <formula>"Rouge…"</formula>
    </cfRule>
  </conditionalFormatting>
  <conditionalFormatting sqref="H25:M25">
    <cfRule type="expression" dxfId="12" priority="41" stopIfTrue="1">
      <formula>Nb_sat="0 satellite"</formula>
    </cfRule>
  </conditionalFormatting>
  <conditionalFormatting sqref="J28 J45">
    <cfRule type="expression" dxfId="11" priority="6" stopIfTrue="1">
      <formula>AND(Portee_balistique&gt;200,LEFT(Propu,2)="p2")</formula>
    </cfRule>
  </conditionalFormatting>
  <conditionalFormatting sqref="K23 K41">
    <cfRule type="expression" dxfId="10" priority="44" stopIfTrue="1">
      <formula>AND(Vsortie_de_rampe&lt;18, OR(LEFT(Type_fusee,1)=",",LEFT(Type_fusee,4)="Mini",LEFT(Type_fusee,1)="R"))</formula>
    </cfRule>
    <cfRule type="expression" dxfId="9" priority="45" stopIfTrue="1">
      <formula>AND(Vsortie_de_rampe&lt;20, RIGHT(Type_fusee,1)=".")</formula>
    </cfRule>
  </conditionalFormatting>
  <conditionalFormatting sqref="K40">
    <cfRule type="expression" dxfId="8" priority="34" stopIfTrue="1">
      <formula>AND( $K$21=0, OR( $I$21&gt;0, $J$21&gt;0 ) )</formula>
    </cfRule>
  </conditionalFormatting>
  <conditionalFormatting sqref="N33">
    <cfRule type="expression" dxfId="7" priority="15" stopIfTrue="1">
      <formula>ROUND(SUM(C23:L34),0)=1914</formula>
    </cfRule>
  </conditionalFormatting>
  <conditionalFormatting sqref="N34">
    <cfRule type="expression" dxfId="6" priority="16" stopIfTrue="1">
      <formula>$N$34="propu NOK"</formula>
    </cfRule>
  </conditionalFormatting>
  <dataValidations count="14">
    <dataValidation type="decimal" operator="greaterThanOrEqual" showErrorMessage="1" sqref="H40:K40 C29 C26 D26:D27" xr:uid="{F73B2C6C-FF1F-9541-B294-581EAE03940D}">
      <formula1>0</formula1>
    </dataValidation>
    <dataValidation type="list" allowBlank="1" showInputMessage="1" showErrorMessage="1" sqref="H50" xr:uid="{7F77F225-6D03-4D40-9887-F691460AB89F}">
      <formula1>gao</formula1>
    </dataValidation>
    <dataValidation operator="greaterThanOrEqual" showErrorMessage="1" sqref="D29 C27" xr:uid="{7893EC0B-AF40-0E45-B830-EB69405F86AA}"/>
    <dataValidation type="decimal" errorStyle="warning" allowBlank="1" showErrorMessage="1" errorTitle="Cx para" error="Le Cx du parachute est souvent compris entre 0 et 2._x000a_Cx of parachute might be between 0 a 2." sqref="C28:D28" xr:uid="{DB73182A-CBAE-CB4E-B0FB-F47D9396DDDF}">
      <formula1>0</formula1>
      <formula2>2</formula2>
    </dataValidation>
    <dataValidation sqref="C11:D11" xr:uid="{20D451B8-BC72-254B-B59C-F134150F4F1C}"/>
    <dataValidation operator="greaterThanOrEqual" sqref="C10:D10" xr:uid="{1AA622F8-B2C5-5649-BDD2-36BFF6D9DFFC}"/>
    <dataValidation type="decimal" errorStyle="warning" showErrorMessage="1" errorTitle="Cx" error="Le Cx est souvent compris entre 0,3 et 0,7._x000a_Cx may be between 0,3 &amp; 0,7." sqref="C15:D15" xr:uid="{0869A7A3-B452-5042-B523-27BE48ABC27A}">
      <formula1>0.3</formula1>
      <formula2>0.7</formula2>
    </dataValidation>
    <dataValidation type="decimal" operator="greaterThanOrEqual" allowBlank="1" showErrorMessage="1" sqref="C18:D18" xr:uid="{0E5A810C-381A-5946-8F4C-1E03524CCFA7}">
      <formula1>0</formula1>
    </dataValidation>
    <dataValidation type="decimal" errorStyle="information" allowBlank="1" showInputMessage="1" showErrorMessage="1" errorTitle="Angle de la rampe" error="Il est conseillé d'incliner à rampe entre 75° et 85° par rapport à l'horizontale._x000a_This Angle is recommended between 75° &amp; 85°." sqref="C19:D19" xr:uid="{FB0E1075-A2F8-A445-A1E3-BFA576042875}">
      <formula1>75</formula1>
      <formula2>85</formula2>
    </dataValidation>
    <dataValidation type="whole" operator="greaterThanOrEqual" allowBlank="1" showErrorMessage="1" sqref="C20:D20" xr:uid="{05AE5CAE-EEC9-5144-BDF7-AEB5F6768317}">
      <formula1>0</formula1>
    </dataValidation>
    <dataValidation type="whole" allowBlank="1" showErrorMessage="1" sqref="M40" xr:uid="{A53F8416-9C11-FD46-85BC-C07A290F8F05}">
      <formula1>-360</formula1>
      <formula2>360</formula2>
    </dataValidation>
    <dataValidation type="list" showInputMessage="1" showErrorMessage="1" sqref="D23" xr:uid="{4B0E120E-FA21-824C-900D-2346F40E4978}">
      <formula1>Menu_sat</formula1>
    </dataValidation>
    <dataValidation type="whole" operator="greaterThanOrEqual" showErrorMessage="1" sqref="B43 B45 B51 B53" xr:uid="{C264CD69-A1D3-0A47-A6BE-F3F8552A52F0}">
      <formula1>0</formula1>
    </dataValidation>
    <dataValidation type="list" showInputMessage="1" showErrorMessage="1" sqref="C25" xr:uid="{633D7300-3070-4647-B06B-AE4FE1944B00}">
      <formula1>IF(Depotage&lt;&gt;0,IF(LEFT(Type_propu,5)="Micro",$F$108,$F$103:$F$108),$F$102)</formula1>
    </dataValidation>
  </dataValidations>
  <hyperlinks>
    <hyperlink ref="B11" location="Stabilito!C17" display="Stabilito!C17" xr:uid="{95E1AAD1-320C-B54A-A31C-70F8CC967851}"/>
  </hyperlinks>
  <printOptions horizontalCentered="1" verticalCentered="1"/>
  <pageMargins left="7.874015748031496E-2" right="7.874015748031496E-2" top="7.874015748031496E-2" bottom="7.874015748031496E-2" header="0" footer="0"/>
  <pageSetup paperSize="9" firstPageNumber="0" orientation="landscape" horizontalDpi="300" verticalDpi="300"/>
  <headerFooter alignWithMargins="0"/>
  <ignoredErrors>
    <ignoredError sqref="B126:B132 B138:B149 C149 C151 C136:C138 C140:C147 C124:C130" formula="1"/>
    <ignoredError sqref="H44:I44 H47 J44:M44" evalError="1"/>
    <ignoredError sqref="G103:G107" numberStoredAsText="1"/>
    <ignoredError sqref="D24" unlockedFormula="1"/>
  </ignoredErrors>
  <drawing r:id="rId1"/>
  <legacyDrawing r:id="rId2"/>
  <oleObjects>
    <mc:AlternateContent xmlns:mc="http://schemas.openxmlformats.org/markup-compatibility/2006">
      <mc:Choice Requires="x14">
        <oleObject progId="Equation.3" shapeId="1425294" r:id="rId3">
          <objectPr defaultSize="0" autoPict="0" r:id="rId4">
            <anchor moveWithCells="1">
              <from>
                <xdr:col>1</xdr:col>
                <xdr:colOff>28575</xdr:colOff>
                <xdr:row>93</xdr:row>
                <xdr:rowOff>66675</xdr:rowOff>
              </from>
              <to>
                <xdr:col>4</xdr:col>
                <xdr:colOff>66675</xdr:colOff>
                <xdr:row>99</xdr:row>
                <xdr:rowOff>76200</xdr:rowOff>
              </to>
            </anchor>
          </objectPr>
        </oleObject>
      </mc:Choice>
      <mc:Fallback>
        <oleObject progId="Equation.3" shapeId="1425294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4424" r:id="rId5" name="Spinner 1064">
              <controlPr defaultSize="0" print="0" autoPict="0">
                <anchor moveWithCells="1" sizeWithCells="1">
                  <from>
                    <xdr:col>3</xdr:col>
                    <xdr:colOff>695325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89" r:id="rId6" name="Spinner 1229">
              <controlPr defaultSize="0" print="0" autoPict="0">
                <anchor moveWithCells="1" sizeWithCells="1">
                  <from>
                    <xdr:col>1</xdr:col>
                    <xdr:colOff>1076325</xdr:colOff>
                    <xdr:row>42</xdr:row>
                    <xdr:rowOff>9525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0" r:id="rId7" name="Spinner 1230">
              <controlPr defaultSize="0" print="0" autoPict="0">
                <anchor moveWithCells="1" sizeWithCells="1">
                  <from>
                    <xdr:col>1</xdr:col>
                    <xdr:colOff>1076325</xdr:colOff>
                    <xdr:row>44</xdr:row>
                    <xdr:rowOff>9525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1" r:id="rId8" name="Spinner 1231">
              <controlPr defaultSize="0" print="0" autoPict="0">
                <anchor moveWithCells="1" sizeWithCells="1">
                  <from>
                    <xdr:col>1</xdr:col>
                    <xdr:colOff>1076325</xdr:colOff>
                    <xdr:row>50</xdr:row>
                    <xdr:rowOff>9525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462" r:id="rId9" name="Spinner 4550">
              <controlPr defaultSize="0" print="0" autoPict="0">
                <anchor moveWithCells="1" sizeWithCells="1">
                  <from>
                    <xdr:col>1</xdr:col>
                    <xdr:colOff>1076325</xdr:colOff>
                    <xdr:row>52</xdr:row>
                    <xdr:rowOff>9525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A0A7-AD4E-E44C-BCAC-AA55AD3B74D4}">
  <sheetPr codeName="Feuil3">
    <pageSetUpPr fitToPage="1"/>
  </sheetPr>
  <dimension ref="B75:B146"/>
  <sheetViews>
    <sheetView showGridLines="0" topLeftCell="A19" zoomScaleNormal="100" workbookViewId="0"/>
  </sheetViews>
  <sheetFormatPr baseColWidth="10" defaultRowHeight="12.75" x14ac:dyDescent="0.2"/>
  <sheetData>
    <row r="75" spans="2:2" x14ac:dyDescent="0.2">
      <c r="B75" t="s">
        <v>44</v>
      </c>
    </row>
    <row r="76" spans="2:2" x14ac:dyDescent="0.2">
      <c r="B76" t="str">
        <f>IF(Lang="Français","Ces courbes représentent la trajectoire de la fusée dans l'hypothèse d'une descente balistique (sans ouverture du parachute). ","These curves show the rocket trajectory in case of ballistic fall (without parachute).")</f>
        <v xml:space="preserve">Ces courbes représentent la trajectoire de la fusée dans l'hypothèse d'une descente balistique (sans ouverture du parachute). </v>
      </c>
    </row>
    <row r="77" spans="2:2" x14ac:dyDescent="0.2">
      <c r="B77" t="str">
        <f>IF(Lang="Français","L'accélération longitudinale gravitationnelle définit le mouvement (dérivée de la vitesse) : Acc = (Poussee - Traînée ± Poids) / m",IF(Lang="English","Longitudinal Gravitaionnal Acceleration defines the motion (velocity derivative) : Acc = (Thrust - Drag ± Weight)/m",""))</f>
        <v>L'accélération longitudinale gravitationnelle définit le mouvement (dérivée de la vitesse) : Acc = (Poussee - Traînée ± Poids) / m</v>
      </c>
    </row>
    <row r="78" spans="2:2" x14ac:dyDescent="0.2">
      <c r="B78" t="str">
        <f>IF(Lang="Français","La charge ''non-gravitationnelle'' vue par un capteur d'accélération (masse-ressort) est : Charge = (Poussée - Traînée) / m",IF(Lang="English","''Non-Gravitaionnal'' Load seen by an acceleration sensor (mass-spring) is : Load = (Thrust - Drag) / m",""))</f>
        <v>La charge ''non-gravitationnelle'' vue par un capteur d'accélération (masse-ressort) est : Charge = (Poussée - Traînée) / m</v>
      </c>
    </row>
    <row r="79" spans="2:2" x14ac:dyDescent="0.2">
      <c r="B79" t="str">
        <f>IF(Lang="Français","Exemples : Si Poussée = Poids, Vitesse constante, Acc nulle, Charge = 1G ; En chute libre, Acc = -1G, Charge = 0",IF(Lang="English","",""))</f>
        <v>Exemples : Si Poussée = Poids, Vitesse constante, Acc nulle, Charge = 1G ; En chute libre, Acc = -1G, Charge = 0</v>
      </c>
    </row>
    <row r="131" spans="2:2" x14ac:dyDescent="0.2">
      <c r="B131" s="24" t="str">
        <f>IF(Lang="Français","Textes pour les graphiques :","Texts for graphics :")</f>
        <v>Textes pour les graphiques :</v>
      </c>
    </row>
    <row r="133" spans="2:2" x14ac:dyDescent="0.2">
      <c r="B133" t="str">
        <f>IF(Lang="Français","Traînée",IF(Lang="English","Drag",""))</f>
        <v>Traînée</v>
      </c>
    </row>
    <row r="134" spans="2:2" x14ac:dyDescent="0.2">
      <c r="B134" t="str">
        <f>IF(Lang="Français","Poussée",IF(Lang="English","Thrust",""))</f>
        <v>Poussée</v>
      </c>
    </row>
    <row r="135" spans="2:2" x14ac:dyDescent="0.2">
      <c r="B135" t="str">
        <f>IF(Lang="Français","Poids",IF(Lang="English","Weight",""))</f>
        <v>Poids</v>
      </c>
    </row>
    <row r="137" spans="2:2" x14ac:dyDescent="0.2">
      <c r="B137" t="str">
        <f>IF(Lang="Français","Accélération longitudinale",IF(Lang="English","Longitudinal Acceleration",""))</f>
        <v>Accélération longitudinale</v>
      </c>
    </row>
    <row r="138" spans="2:2" x14ac:dyDescent="0.2">
      <c r="B138" t="str">
        <f>IF(Lang="Français","Charge vue par un capteur",IF(Lang="English","Load seen by a sensor",""))</f>
        <v>Charge vue par un capteur</v>
      </c>
    </row>
    <row r="140" spans="2:2" x14ac:dyDescent="0.2">
      <c r="B140" t="str">
        <f>IF(Lang="Français","Vitesse",IF(Lang="English","Velocity",""))</f>
        <v>Vitesse</v>
      </c>
    </row>
    <row r="141" spans="2:2" x14ac:dyDescent="0.2">
      <c r="B141" t="str">
        <f>IF(Lang="Français","Vitesse [m/s]",IF(Lang="English","Velocity [m/s]",""))</f>
        <v>Vitesse [m/s]</v>
      </c>
    </row>
    <row r="143" spans="2:2" x14ac:dyDescent="0.2">
      <c r="B143" t="s">
        <v>6</v>
      </c>
    </row>
    <row r="144" spans="2:2" x14ac:dyDescent="0.2">
      <c r="B144" t="str">
        <f>IF(Lang="Français","Portée",IF(Lang="English","Range",""))</f>
        <v>Portée</v>
      </c>
    </row>
    <row r="146" spans="2:2" x14ac:dyDescent="0.2">
      <c r="B146" t="str">
        <f>IF(Lang="Français","Temps [s]",IF(Lang="English","Time [s]",""))</f>
        <v>Temps [s]</v>
      </c>
    </row>
  </sheetData>
  <sheetProtection password="C6AC" sheet="1"/>
  <phoneticPr fontId="8" type="noConversion"/>
  <printOptions horizontalCentered="1" verticalCentered="1"/>
  <pageMargins left="0.39370078740157483" right="0.39370078740157483" top="0.39370078740157483" bottom="0.39370078740157483" header="0" footer="0"/>
  <pageSetup scale="76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CF22-6776-D543-B528-C84391F2E860}">
  <sheetPr codeName="Feuil5">
    <pageSetUpPr fitToPage="1"/>
  </sheetPr>
  <dimension ref="A1:Z336"/>
  <sheetViews>
    <sheetView showGridLines="0" topLeftCell="A200" zoomScale="169" zoomScaleNormal="80" workbookViewId="0">
      <selection activeCell="V194" sqref="V194"/>
    </sheetView>
  </sheetViews>
  <sheetFormatPr baseColWidth="10" defaultRowHeight="12.75" x14ac:dyDescent="0.2"/>
  <cols>
    <col min="1" max="1" width="22.5703125" bestFit="1" customWidth="1"/>
  </cols>
  <sheetData>
    <row r="1" spans="1:26" ht="13.5" thickBot="1" x14ac:dyDescent="0.25">
      <c r="A1" s="362" t="str">
        <f>IF(Lang="Français","Moteur sélectionné","Selected motor")</f>
        <v>Moteur sélectionné</v>
      </c>
      <c r="B1" s="362" t="s">
        <v>32</v>
      </c>
    </row>
    <row r="2" spans="1:26" ht="13.5" thickBot="1" x14ac:dyDescent="0.25">
      <c r="A2" s="352" t="str">
        <f>Propu</f>
        <v>Barasinga (Pro54-5G)</v>
      </c>
      <c r="B2" s="352">
        <f>VLOOKUP(A2,A26:B304,2,FALSE)</f>
        <v>274</v>
      </c>
      <c r="C2" s="363" t="s">
        <v>118</v>
      </c>
      <c r="D2" s="353">
        <f ca="1">INDIRECT(ADDRESS(B2,4))</f>
        <v>2058.37</v>
      </c>
      <c r="E2" s="363" t="s">
        <v>117</v>
      </c>
      <c r="F2" s="354">
        <f ca="1">INDIRECT(ADDRESS(B2,6))</f>
        <v>203.12066731598335</v>
      </c>
      <c r="G2" s="363" t="s">
        <v>59</v>
      </c>
      <c r="H2" s="355">
        <f ca="1">INDIRECT(ADDRESS(B2,8))</f>
        <v>1.6850000000000001</v>
      </c>
      <c r="I2" s="363" t="s">
        <v>276</v>
      </c>
      <c r="J2" s="356">
        <f ca="1">INDIRECT(ADDRESS(B2,10))</f>
        <v>1.0329999999999999</v>
      </c>
      <c r="K2" s="363" t="s">
        <v>61</v>
      </c>
      <c r="L2" s="355">
        <f ca="1">INDIRECT(ADDRESS(B2,12))</f>
        <v>0.65200000000000002</v>
      </c>
      <c r="M2" s="363" t="s">
        <v>60</v>
      </c>
      <c r="N2" s="357">
        <f ca="1">INDIRECT(ADDRESS(B2,14))</f>
        <v>250</v>
      </c>
      <c r="O2" s="363" t="s">
        <v>62</v>
      </c>
      <c r="P2" s="357">
        <f ca="1">INDIRECT(ADDRESS(B2,16))</f>
        <v>240</v>
      </c>
      <c r="Q2" s="363" t="s">
        <v>63</v>
      </c>
      <c r="R2" s="357">
        <f ca="1">INDIRECT(ADDRESS(B2,18))</f>
        <v>488</v>
      </c>
      <c r="S2" s="363" t="s">
        <v>64</v>
      </c>
      <c r="T2" s="357">
        <f ca="1">INDIRECT(ADDRESS(B2,20))</f>
        <v>54</v>
      </c>
      <c r="U2" s="363" t="s">
        <v>57</v>
      </c>
      <c r="V2" s="358" t="str">
        <f ca="1">INDIRECT(ADDRESS(B2,22))</f>
        <v>Fusex</v>
      </c>
      <c r="W2" s="463" t="s">
        <v>398</v>
      </c>
      <c r="X2" s="464">
        <f ca="1">INDIRECT(ADDRESS(B2,24))</f>
        <v>0</v>
      </c>
      <c r="Y2" s="463" t="s">
        <v>397</v>
      </c>
      <c r="Z2" s="358">
        <f ca="1">INDIRECT(ADDRESS(B2,26))</f>
        <v>0</v>
      </c>
    </row>
    <row r="3" spans="1:26" x14ac:dyDescent="0.2">
      <c r="A3" s="362" t="str">
        <f>IF(Lang="Français","Temps (en s)","Time (s)")</f>
        <v>Temps (en s)</v>
      </c>
      <c r="B3" s="364">
        <f t="shared" ref="B3:Y3" ca="1" si="0">INDIRECT(ADDRESS($B2+1,COLUMN(B3)))</f>
        <v>0</v>
      </c>
      <c r="C3" s="365">
        <f t="shared" ca="1" si="0"/>
        <v>0.05</v>
      </c>
      <c r="D3" s="365">
        <f t="shared" ca="1" si="0"/>
        <v>0.5</v>
      </c>
      <c r="E3" s="365">
        <f t="shared" ca="1" si="0"/>
        <v>1</v>
      </c>
      <c r="F3" s="365">
        <f t="shared" ca="1" si="0"/>
        <v>1.5</v>
      </c>
      <c r="G3" s="365">
        <f t="shared" ca="1" si="0"/>
        <v>2</v>
      </c>
      <c r="H3" s="365">
        <f t="shared" ca="1" si="0"/>
        <v>2.5</v>
      </c>
      <c r="I3" s="365">
        <f t="shared" ca="1" si="0"/>
        <v>2.97</v>
      </c>
      <c r="J3" s="365">
        <f t="shared" ca="1" si="0"/>
        <v>3.2</v>
      </c>
      <c r="K3" s="365">
        <f t="shared" ca="1" si="0"/>
        <v>3.47</v>
      </c>
      <c r="L3" s="365">
        <f t="shared" ca="1" si="0"/>
        <v>3.59</v>
      </c>
      <c r="M3" s="365">
        <f t="shared" ca="1" si="0"/>
        <v>3.59</v>
      </c>
      <c r="N3" s="365">
        <f t="shared" ca="1" si="0"/>
        <v>3.59</v>
      </c>
      <c r="O3" s="365">
        <f t="shared" ca="1" si="0"/>
        <v>3.59</v>
      </c>
      <c r="P3" s="365">
        <f t="shared" ca="1" si="0"/>
        <v>3.59</v>
      </c>
      <c r="Q3" s="365">
        <f t="shared" ca="1" si="0"/>
        <v>3.59</v>
      </c>
      <c r="R3" s="365">
        <f t="shared" ca="1" si="0"/>
        <v>3.59</v>
      </c>
      <c r="S3" s="365">
        <f t="shared" ca="1" si="0"/>
        <v>3.59</v>
      </c>
      <c r="T3" s="365">
        <f t="shared" ca="1" si="0"/>
        <v>3.59</v>
      </c>
      <c r="U3" s="365">
        <f t="shared" ca="1" si="0"/>
        <v>3.59</v>
      </c>
      <c r="V3" s="365">
        <f t="shared" ca="1" si="0"/>
        <v>3.59</v>
      </c>
      <c r="W3" s="365">
        <f t="shared" ca="1" si="0"/>
        <v>3.59</v>
      </c>
      <c r="X3" s="365">
        <f ca="1">INDIRECT(ADDRESS($B2+1,COLUMN(X3)))</f>
        <v>3.59</v>
      </c>
      <c r="Y3" s="366">
        <f t="shared" ca="1" si="0"/>
        <v>1000</v>
      </c>
    </row>
    <row r="4" spans="1:26" ht="13.5" thickBot="1" x14ac:dyDescent="0.25">
      <c r="A4" s="379" t="str">
        <f>IF(Lang="Français","Poussée (en N)","Thrust (N)")</f>
        <v>Poussée (en N)</v>
      </c>
      <c r="B4" s="367">
        <f t="shared" ref="B4:Y4" ca="1" si="1">INDIRECT(ADDRESS($B2+2,COLUMN(B3)))</f>
        <v>0</v>
      </c>
      <c r="C4" s="368">
        <f t="shared" ca="1" si="1"/>
        <v>893</v>
      </c>
      <c r="D4" s="368">
        <f t="shared" ca="1" si="1"/>
        <v>798</v>
      </c>
      <c r="E4" s="368">
        <f t="shared" ca="1" si="1"/>
        <v>739</v>
      </c>
      <c r="F4" s="368">
        <f t="shared" ca="1" si="1"/>
        <v>659</v>
      </c>
      <c r="G4" s="368">
        <f t="shared" ca="1" si="1"/>
        <v>586</v>
      </c>
      <c r="H4" s="368">
        <f t="shared" ca="1" si="1"/>
        <v>513</v>
      </c>
      <c r="I4" s="368">
        <f t="shared" ca="1" si="1"/>
        <v>417</v>
      </c>
      <c r="J4" s="368">
        <f t="shared" ca="1" si="1"/>
        <v>225</v>
      </c>
      <c r="K4" s="368">
        <f t="shared" ca="1" si="1"/>
        <v>67</v>
      </c>
      <c r="L4" s="368">
        <f t="shared" ca="1" si="1"/>
        <v>0</v>
      </c>
      <c r="M4" s="368">
        <f t="shared" ca="1" si="1"/>
        <v>0</v>
      </c>
      <c r="N4" s="368">
        <f t="shared" ca="1" si="1"/>
        <v>0</v>
      </c>
      <c r="O4" s="368">
        <f t="shared" ca="1" si="1"/>
        <v>0</v>
      </c>
      <c r="P4" s="368">
        <f t="shared" ca="1" si="1"/>
        <v>0</v>
      </c>
      <c r="Q4" s="368">
        <f t="shared" ca="1" si="1"/>
        <v>0</v>
      </c>
      <c r="R4" s="368">
        <f t="shared" ca="1" si="1"/>
        <v>0</v>
      </c>
      <c r="S4" s="368">
        <f t="shared" ca="1" si="1"/>
        <v>0</v>
      </c>
      <c r="T4" s="368">
        <f t="shared" ca="1" si="1"/>
        <v>0</v>
      </c>
      <c r="U4" s="368">
        <f t="shared" ca="1" si="1"/>
        <v>0</v>
      </c>
      <c r="V4" s="368">
        <f t="shared" ca="1" si="1"/>
        <v>0</v>
      </c>
      <c r="W4" s="368">
        <f t="shared" ca="1" si="1"/>
        <v>0</v>
      </c>
      <c r="X4" s="368">
        <f ca="1">INDIRECT(ADDRESS($B2+2,COLUMN(X3)))</f>
        <v>0</v>
      </c>
      <c r="Y4" s="369">
        <f t="shared" ca="1" si="1"/>
        <v>0</v>
      </c>
    </row>
    <row r="5" spans="1:26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x14ac:dyDescent="0.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6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6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26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26" x14ac:dyDescent="0.2">
      <c r="B10" s="12"/>
      <c r="C10" s="12"/>
      <c r="D10" s="12"/>
      <c r="E10" s="12"/>
      <c r="F10" s="12"/>
      <c r="G10" s="12"/>
      <c r="H10" s="12"/>
      <c r="I10" s="12"/>
      <c r="J10" s="12"/>
    </row>
    <row r="11" spans="1:26" x14ac:dyDescent="0.2">
      <c r="B11" s="12"/>
      <c r="C11" s="12"/>
      <c r="D11" s="12"/>
      <c r="E11" s="12"/>
      <c r="F11" s="12"/>
      <c r="G11" s="12"/>
      <c r="H11" s="12"/>
      <c r="I11" s="12"/>
      <c r="J11" s="12"/>
    </row>
    <row r="12" spans="1:26" x14ac:dyDescent="0.2">
      <c r="B12" s="12"/>
      <c r="C12" s="12"/>
      <c r="D12" s="12"/>
      <c r="E12" s="12"/>
      <c r="F12" s="12"/>
      <c r="G12" s="12"/>
      <c r="H12" s="12"/>
      <c r="I12" s="12"/>
      <c r="J12" s="12"/>
    </row>
    <row r="13" spans="1:26" x14ac:dyDescent="0.2">
      <c r="B13" s="12"/>
      <c r="C13" s="12"/>
      <c r="D13" s="12"/>
      <c r="E13" s="12"/>
      <c r="F13" s="12"/>
      <c r="G13" s="12"/>
      <c r="H13" s="12"/>
      <c r="I13" s="12"/>
      <c r="J13" s="12"/>
    </row>
    <row r="14" spans="1:26" x14ac:dyDescent="0.2">
      <c r="B14" s="12"/>
      <c r="C14" s="12"/>
      <c r="D14" s="12"/>
      <c r="E14" s="12"/>
      <c r="F14" s="12"/>
      <c r="G14" s="12"/>
      <c r="H14" s="12"/>
      <c r="I14" s="12"/>
      <c r="J14" s="12"/>
    </row>
    <row r="15" spans="1:26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6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25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25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5" spans="1:25" ht="13.5" thickBot="1" x14ac:dyDescent="0.25">
      <c r="A25" s="6" t="s">
        <v>279</v>
      </c>
    </row>
    <row r="26" spans="1:25" ht="13.5" thickBot="1" x14ac:dyDescent="0.25">
      <c r="A26" s="361" t="s">
        <v>312</v>
      </c>
      <c r="B26" s="359">
        <f>ROW(A26)</f>
        <v>26</v>
      </c>
      <c r="C26" s="363" t="s">
        <v>118</v>
      </c>
      <c r="D26" s="353">
        <f>SUM(B29:Y29)</f>
        <v>9.8449999999999989</v>
      </c>
      <c r="E26" s="363" t="s">
        <v>117</v>
      </c>
      <c r="F26" s="399">
        <f>D26/g/J26</f>
        <v>3.3452259599048584</v>
      </c>
      <c r="G26" s="363" t="s">
        <v>59</v>
      </c>
      <c r="H26" s="64">
        <v>0.3</v>
      </c>
      <c r="I26" s="363" t="s">
        <v>274</v>
      </c>
      <c r="J26" s="355">
        <f>H26-L26</f>
        <v>0.3</v>
      </c>
      <c r="K26" s="363" t="s">
        <v>275</v>
      </c>
      <c r="L26" s="64">
        <v>0</v>
      </c>
      <c r="M26" s="363" t="s">
        <v>60</v>
      </c>
      <c r="N26" s="65">
        <f>0.2*R26</f>
        <v>60</v>
      </c>
      <c r="O26" s="363" t="s">
        <v>62</v>
      </c>
      <c r="P26" s="65">
        <v>150</v>
      </c>
      <c r="Q26" s="363" t="s">
        <v>63</v>
      </c>
      <c r="R26" s="65">
        <v>300</v>
      </c>
      <c r="S26" s="363" t="s">
        <v>64</v>
      </c>
      <c r="T26" s="65">
        <v>90</v>
      </c>
      <c r="U26" s="363" t="s">
        <v>57</v>
      </c>
      <c r="V26" s="66" t="s">
        <v>279</v>
      </c>
      <c r="W26" s="12"/>
      <c r="X26" s="12"/>
      <c r="Y26" s="12"/>
    </row>
    <row r="27" spans="1:25" x14ac:dyDescent="0.2">
      <c r="A27" s="362" t="s">
        <v>33</v>
      </c>
      <c r="B27" s="370">
        <v>0</v>
      </c>
      <c r="C27" s="371">
        <v>1E-3</v>
      </c>
      <c r="D27" s="371">
        <v>0.02</v>
      </c>
      <c r="E27" s="371">
        <v>3.7999999999999999E-2</v>
      </c>
      <c r="F27" s="371">
        <v>0.04</v>
      </c>
      <c r="G27" s="371">
        <v>0.04</v>
      </c>
      <c r="H27" s="371">
        <v>0.04</v>
      </c>
      <c r="I27" s="371">
        <v>0.04</v>
      </c>
      <c r="J27" s="371">
        <v>0.04</v>
      </c>
      <c r="K27" s="371">
        <v>0.04</v>
      </c>
      <c r="L27" s="371">
        <v>0.04</v>
      </c>
      <c r="M27" s="371">
        <v>0.04</v>
      </c>
      <c r="N27" s="371">
        <v>0.04</v>
      </c>
      <c r="O27" s="371">
        <v>0.04</v>
      </c>
      <c r="P27" s="371">
        <v>0.04</v>
      </c>
      <c r="Q27" s="371">
        <v>0.04</v>
      </c>
      <c r="R27" s="371">
        <v>0.04</v>
      </c>
      <c r="S27" s="371">
        <v>0.04</v>
      </c>
      <c r="T27" s="371">
        <v>0.04</v>
      </c>
      <c r="U27" s="371">
        <v>0.04</v>
      </c>
      <c r="V27" s="371">
        <v>0.04</v>
      </c>
      <c r="W27" s="371">
        <v>0.04</v>
      </c>
      <c r="X27" s="371">
        <v>0.04</v>
      </c>
      <c r="Y27" s="381">
        <v>1000</v>
      </c>
    </row>
    <row r="28" spans="1:25" x14ac:dyDescent="0.2">
      <c r="A28" s="378" t="s">
        <v>34</v>
      </c>
      <c r="B28" s="372">
        <v>0</v>
      </c>
      <c r="C28" s="373">
        <v>310</v>
      </c>
      <c r="D28" s="373">
        <v>250</v>
      </c>
      <c r="E28" s="373">
        <v>212</v>
      </c>
      <c r="F28" s="373">
        <v>0</v>
      </c>
      <c r="G28" s="373">
        <v>0</v>
      </c>
      <c r="H28" s="373">
        <v>0</v>
      </c>
      <c r="I28" s="373">
        <v>0</v>
      </c>
      <c r="J28" s="373">
        <v>0</v>
      </c>
      <c r="K28" s="373">
        <v>0</v>
      </c>
      <c r="L28" s="373">
        <v>0</v>
      </c>
      <c r="M28" s="373">
        <v>0</v>
      </c>
      <c r="N28" s="373">
        <v>0</v>
      </c>
      <c r="O28" s="373">
        <v>0</v>
      </c>
      <c r="P28" s="373">
        <v>0</v>
      </c>
      <c r="Q28" s="373">
        <v>0</v>
      </c>
      <c r="R28" s="373">
        <v>0</v>
      </c>
      <c r="S28" s="373">
        <v>0</v>
      </c>
      <c r="T28" s="373">
        <v>0</v>
      </c>
      <c r="U28" s="373">
        <v>0</v>
      </c>
      <c r="V28" s="373">
        <v>0</v>
      </c>
      <c r="W28" s="373">
        <v>0</v>
      </c>
      <c r="X28" s="373">
        <v>0</v>
      </c>
      <c r="Y28" s="382">
        <v>0</v>
      </c>
    </row>
    <row r="29" spans="1:25" ht="13.5" thickBot="1" x14ac:dyDescent="0.25">
      <c r="A29" s="379" t="s">
        <v>119</v>
      </c>
      <c r="B29" s="374">
        <f t="shared" ref="B29:X29" si="2">(C28+B28)*(C27-B27)/2</f>
        <v>0.155</v>
      </c>
      <c r="C29" s="375">
        <f t="shared" si="2"/>
        <v>5.32</v>
      </c>
      <c r="D29" s="375">
        <f t="shared" si="2"/>
        <v>4.1579999999999995</v>
      </c>
      <c r="E29" s="375">
        <f t="shared" si="2"/>
        <v>0.21200000000000019</v>
      </c>
      <c r="F29" s="375">
        <f t="shared" si="2"/>
        <v>0</v>
      </c>
      <c r="G29" s="375">
        <f t="shared" si="2"/>
        <v>0</v>
      </c>
      <c r="H29" s="375">
        <f t="shared" si="2"/>
        <v>0</v>
      </c>
      <c r="I29" s="375">
        <f t="shared" si="2"/>
        <v>0</v>
      </c>
      <c r="J29" s="375">
        <f t="shared" si="2"/>
        <v>0</v>
      </c>
      <c r="K29" s="375">
        <f t="shared" si="2"/>
        <v>0</v>
      </c>
      <c r="L29" s="375">
        <f t="shared" si="2"/>
        <v>0</v>
      </c>
      <c r="M29" s="375">
        <f t="shared" si="2"/>
        <v>0</v>
      </c>
      <c r="N29" s="375">
        <f t="shared" si="2"/>
        <v>0</v>
      </c>
      <c r="O29" s="375">
        <f t="shared" si="2"/>
        <v>0</v>
      </c>
      <c r="P29" s="375">
        <f t="shared" si="2"/>
        <v>0</v>
      </c>
      <c r="Q29" s="375">
        <f t="shared" si="2"/>
        <v>0</v>
      </c>
      <c r="R29" s="375">
        <f t="shared" si="2"/>
        <v>0</v>
      </c>
      <c r="S29" s="375">
        <f t="shared" si="2"/>
        <v>0</v>
      </c>
      <c r="T29" s="375">
        <f t="shared" si="2"/>
        <v>0</v>
      </c>
      <c r="U29" s="375">
        <f t="shared" si="2"/>
        <v>0</v>
      </c>
      <c r="V29" s="375">
        <f t="shared" si="2"/>
        <v>0</v>
      </c>
      <c r="W29" s="375">
        <f t="shared" si="2"/>
        <v>0</v>
      </c>
      <c r="X29" s="375">
        <f t="shared" si="2"/>
        <v>0</v>
      </c>
      <c r="Y29" s="369"/>
    </row>
    <row r="30" spans="1:25" ht="13.5" thickBot="1" x14ac:dyDescent="0.25">
      <c r="A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thickBot="1" x14ac:dyDescent="0.25">
      <c r="A31" s="361" t="s">
        <v>313</v>
      </c>
      <c r="B31" s="359">
        <f>ROW(A31)</f>
        <v>31</v>
      </c>
      <c r="C31" s="363" t="s">
        <v>118</v>
      </c>
      <c r="D31" s="353">
        <f>SUM(B34:Y34)</f>
        <v>13.814500000000002</v>
      </c>
      <c r="E31" s="363" t="s">
        <v>117</v>
      </c>
      <c r="F31" s="399">
        <f>D31/g/J31</f>
        <v>3.1293464718541175</v>
      </c>
      <c r="G31" s="363" t="s">
        <v>59</v>
      </c>
      <c r="H31" s="64">
        <v>0.45</v>
      </c>
      <c r="I31" s="363" t="s">
        <v>274</v>
      </c>
      <c r="J31" s="355">
        <f>H31-L31</f>
        <v>0.45</v>
      </c>
      <c r="K31" s="363" t="s">
        <v>275</v>
      </c>
      <c r="L31" s="64">
        <v>0</v>
      </c>
      <c r="M31" s="363" t="s">
        <v>60</v>
      </c>
      <c r="N31" s="65">
        <f>0.3*R31</f>
        <v>90</v>
      </c>
      <c r="O31" s="363" t="s">
        <v>62</v>
      </c>
      <c r="P31" s="65">
        <v>150</v>
      </c>
      <c r="Q31" s="363" t="s">
        <v>63</v>
      </c>
      <c r="R31" s="65">
        <v>300</v>
      </c>
      <c r="S31" s="363" t="s">
        <v>64</v>
      </c>
      <c r="T31" s="65">
        <v>90</v>
      </c>
      <c r="U31" s="363" t="s">
        <v>57</v>
      </c>
      <c r="V31" s="66" t="s">
        <v>279</v>
      </c>
      <c r="W31" s="12"/>
      <c r="X31" s="12"/>
      <c r="Y31" s="12"/>
    </row>
    <row r="32" spans="1:25" x14ac:dyDescent="0.2">
      <c r="A32" s="362" t="s">
        <v>33</v>
      </c>
      <c r="B32" s="370">
        <v>0</v>
      </c>
      <c r="C32" s="371">
        <v>1E-3</v>
      </c>
      <c r="D32" s="371">
        <v>0.02</v>
      </c>
      <c r="E32" s="371">
        <v>0.04</v>
      </c>
      <c r="F32" s="371">
        <v>6.0999999999999999E-2</v>
      </c>
      <c r="G32" s="371">
        <v>6.2E-2</v>
      </c>
      <c r="H32" s="371">
        <v>6.2E-2</v>
      </c>
      <c r="I32" s="371">
        <v>6.2E-2</v>
      </c>
      <c r="J32" s="371">
        <v>6.2E-2</v>
      </c>
      <c r="K32" s="371">
        <v>6.2E-2</v>
      </c>
      <c r="L32" s="371">
        <v>6.2E-2</v>
      </c>
      <c r="M32" s="371">
        <v>6.2E-2</v>
      </c>
      <c r="N32" s="371">
        <v>6.2E-2</v>
      </c>
      <c r="O32" s="371">
        <v>6.2E-2</v>
      </c>
      <c r="P32" s="371">
        <v>6.2E-2</v>
      </c>
      <c r="Q32" s="371">
        <v>6.2E-2</v>
      </c>
      <c r="R32" s="371">
        <v>6.2E-2</v>
      </c>
      <c r="S32" s="371">
        <v>6.2E-2</v>
      </c>
      <c r="T32" s="371">
        <v>6.2E-2</v>
      </c>
      <c r="U32" s="371">
        <v>6.2E-2</v>
      </c>
      <c r="V32" s="371">
        <v>6.2E-2</v>
      </c>
      <c r="W32" s="371">
        <v>6.2E-2</v>
      </c>
      <c r="X32" s="371">
        <v>6.2E-2</v>
      </c>
      <c r="Y32" s="381">
        <v>1000</v>
      </c>
    </row>
    <row r="33" spans="1:25" x14ac:dyDescent="0.2">
      <c r="A33" s="378" t="s">
        <v>34</v>
      </c>
      <c r="B33" s="372">
        <v>0</v>
      </c>
      <c r="C33" s="373">
        <v>310</v>
      </c>
      <c r="D33" s="373">
        <v>245</v>
      </c>
      <c r="E33" s="373">
        <v>200</v>
      </c>
      <c r="F33" s="373">
        <v>167</v>
      </c>
      <c r="G33" s="373">
        <v>0</v>
      </c>
      <c r="H33" s="373">
        <v>0</v>
      </c>
      <c r="I33" s="373">
        <v>0</v>
      </c>
      <c r="J33" s="373">
        <v>0</v>
      </c>
      <c r="K33" s="373">
        <v>0</v>
      </c>
      <c r="L33" s="373">
        <v>0</v>
      </c>
      <c r="M33" s="373">
        <v>0</v>
      </c>
      <c r="N33" s="373">
        <v>0</v>
      </c>
      <c r="O33" s="373">
        <v>0</v>
      </c>
      <c r="P33" s="373">
        <v>0</v>
      </c>
      <c r="Q33" s="373">
        <v>0</v>
      </c>
      <c r="R33" s="373">
        <v>0</v>
      </c>
      <c r="S33" s="373">
        <v>0</v>
      </c>
      <c r="T33" s="373">
        <v>0</v>
      </c>
      <c r="U33" s="373">
        <v>0</v>
      </c>
      <c r="V33" s="373">
        <v>0</v>
      </c>
      <c r="W33" s="373">
        <v>0</v>
      </c>
      <c r="X33" s="373">
        <v>0</v>
      </c>
      <c r="Y33" s="382">
        <v>0</v>
      </c>
    </row>
    <row r="34" spans="1:25" ht="13.5" thickBot="1" x14ac:dyDescent="0.25">
      <c r="A34" s="379" t="s">
        <v>119</v>
      </c>
      <c r="B34" s="374">
        <f t="shared" ref="B34:X34" si="3">(C33+B33)*(C32-B32)/2</f>
        <v>0.155</v>
      </c>
      <c r="C34" s="375">
        <f t="shared" si="3"/>
        <v>5.2725</v>
      </c>
      <c r="D34" s="375">
        <f t="shared" si="3"/>
        <v>4.45</v>
      </c>
      <c r="E34" s="375">
        <f t="shared" si="3"/>
        <v>3.8534999999999995</v>
      </c>
      <c r="F34" s="375">
        <f t="shared" si="3"/>
        <v>8.3500000000000074E-2</v>
      </c>
      <c r="G34" s="375">
        <f t="shared" si="3"/>
        <v>0</v>
      </c>
      <c r="H34" s="375">
        <f t="shared" si="3"/>
        <v>0</v>
      </c>
      <c r="I34" s="375">
        <f t="shared" si="3"/>
        <v>0</v>
      </c>
      <c r="J34" s="375">
        <f t="shared" si="3"/>
        <v>0</v>
      </c>
      <c r="K34" s="375">
        <f t="shared" si="3"/>
        <v>0</v>
      </c>
      <c r="L34" s="375">
        <f t="shared" si="3"/>
        <v>0</v>
      </c>
      <c r="M34" s="375">
        <f t="shared" si="3"/>
        <v>0</v>
      </c>
      <c r="N34" s="375">
        <f t="shared" si="3"/>
        <v>0</v>
      </c>
      <c r="O34" s="375">
        <f t="shared" si="3"/>
        <v>0</v>
      </c>
      <c r="P34" s="375">
        <f t="shared" si="3"/>
        <v>0</v>
      </c>
      <c r="Q34" s="375">
        <f t="shared" si="3"/>
        <v>0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0</v>
      </c>
      <c r="X34" s="375">
        <f t="shared" si="3"/>
        <v>0</v>
      </c>
      <c r="Y34" s="369"/>
    </row>
    <row r="35" spans="1:25" ht="13.5" thickBot="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thickBot="1" x14ac:dyDescent="0.25">
      <c r="A36" s="361" t="s">
        <v>314</v>
      </c>
      <c r="B36" s="359">
        <f>ROW(A36)</f>
        <v>36</v>
      </c>
      <c r="C36" s="363" t="s">
        <v>118</v>
      </c>
      <c r="D36" s="353">
        <f>SUM(B39:Y39)</f>
        <v>17.144499999999997</v>
      </c>
      <c r="E36" s="363" t="s">
        <v>117</v>
      </c>
      <c r="F36" s="399">
        <f>D36/g/J36</f>
        <v>2.9127590893645934</v>
      </c>
      <c r="G36" s="363" t="s">
        <v>59</v>
      </c>
      <c r="H36" s="64">
        <v>0.6</v>
      </c>
      <c r="I36" s="363" t="s">
        <v>274</v>
      </c>
      <c r="J36" s="355">
        <f>H36-L36</f>
        <v>0.6</v>
      </c>
      <c r="K36" s="363" t="s">
        <v>275</v>
      </c>
      <c r="L36" s="64">
        <v>0</v>
      </c>
      <c r="M36" s="363" t="s">
        <v>60</v>
      </c>
      <c r="N36" s="65">
        <f>0.4*R36</f>
        <v>120</v>
      </c>
      <c r="O36" s="363" t="s">
        <v>62</v>
      </c>
      <c r="P36" s="65">
        <v>150</v>
      </c>
      <c r="Q36" s="363" t="s">
        <v>63</v>
      </c>
      <c r="R36" s="65">
        <v>300</v>
      </c>
      <c r="S36" s="363" t="s">
        <v>64</v>
      </c>
      <c r="T36" s="65">
        <v>90</v>
      </c>
      <c r="U36" s="363" t="s">
        <v>57</v>
      </c>
      <c r="V36" s="66" t="s">
        <v>279</v>
      </c>
      <c r="W36" s="12"/>
      <c r="X36" s="12"/>
      <c r="Y36" s="12"/>
    </row>
    <row r="37" spans="1:25" x14ac:dyDescent="0.2">
      <c r="A37" s="362" t="s">
        <v>33</v>
      </c>
      <c r="B37" s="370">
        <v>0</v>
      </c>
      <c r="C37" s="371">
        <v>1E-3</v>
      </c>
      <c r="D37" s="371">
        <v>0.02</v>
      </c>
      <c r="E37" s="371">
        <v>0.04</v>
      </c>
      <c r="F37" s="371">
        <v>0.06</v>
      </c>
      <c r="G37" s="371">
        <v>0.08</v>
      </c>
      <c r="H37" s="371">
        <v>8.7999999999999995E-2</v>
      </c>
      <c r="I37" s="371">
        <v>8.8999999999999996E-2</v>
      </c>
      <c r="J37" s="371">
        <v>8.8999999999999996E-2</v>
      </c>
      <c r="K37" s="371">
        <v>8.8999999999999996E-2</v>
      </c>
      <c r="L37" s="371">
        <v>8.8999999999999996E-2</v>
      </c>
      <c r="M37" s="371">
        <v>8.8999999999999996E-2</v>
      </c>
      <c r="N37" s="371">
        <v>8.8999999999999996E-2</v>
      </c>
      <c r="O37" s="371">
        <v>8.8999999999999996E-2</v>
      </c>
      <c r="P37" s="371">
        <v>8.8999999999999996E-2</v>
      </c>
      <c r="Q37" s="371">
        <v>8.8999999999999996E-2</v>
      </c>
      <c r="R37" s="371">
        <v>8.8999999999999996E-2</v>
      </c>
      <c r="S37" s="371">
        <v>8.8999999999999996E-2</v>
      </c>
      <c r="T37" s="371">
        <v>8.8999999999999996E-2</v>
      </c>
      <c r="U37" s="371">
        <v>8.8999999999999996E-2</v>
      </c>
      <c r="V37" s="371">
        <v>8.8999999999999996E-2</v>
      </c>
      <c r="W37" s="371">
        <v>8.8999999999999996E-2</v>
      </c>
      <c r="X37" s="371">
        <v>8.8999999999999996E-2</v>
      </c>
      <c r="Y37" s="381">
        <v>1000</v>
      </c>
    </row>
    <row r="38" spans="1:25" x14ac:dyDescent="0.2">
      <c r="A38" s="378" t="s">
        <v>34</v>
      </c>
      <c r="B38" s="372">
        <v>0</v>
      </c>
      <c r="C38" s="373">
        <v>310</v>
      </c>
      <c r="D38" s="373">
        <v>240</v>
      </c>
      <c r="E38" s="373">
        <v>190</v>
      </c>
      <c r="F38" s="373">
        <v>157</v>
      </c>
      <c r="G38" s="373">
        <v>133</v>
      </c>
      <c r="H38" s="373">
        <v>125</v>
      </c>
      <c r="I38" s="373">
        <v>0</v>
      </c>
      <c r="J38" s="373">
        <v>0</v>
      </c>
      <c r="K38" s="373">
        <v>0</v>
      </c>
      <c r="L38" s="373">
        <v>0</v>
      </c>
      <c r="M38" s="373">
        <v>0</v>
      </c>
      <c r="N38" s="373">
        <v>0</v>
      </c>
      <c r="O38" s="373">
        <v>0</v>
      </c>
      <c r="P38" s="373">
        <v>0</v>
      </c>
      <c r="Q38" s="373">
        <v>0</v>
      </c>
      <c r="R38" s="373">
        <v>0</v>
      </c>
      <c r="S38" s="373">
        <v>0</v>
      </c>
      <c r="T38" s="373">
        <v>0</v>
      </c>
      <c r="U38" s="373">
        <v>0</v>
      </c>
      <c r="V38" s="373">
        <v>0</v>
      </c>
      <c r="W38" s="373">
        <v>0</v>
      </c>
      <c r="X38" s="373">
        <v>0</v>
      </c>
      <c r="Y38" s="382">
        <v>0</v>
      </c>
    </row>
    <row r="39" spans="1:25" ht="13.5" thickBot="1" x14ac:dyDescent="0.25">
      <c r="A39" s="379" t="s">
        <v>119</v>
      </c>
      <c r="B39" s="374">
        <f t="shared" ref="B39:X39" si="4">(C38+B38)*(C37-B37)/2</f>
        <v>0.155</v>
      </c>
      <c r="C39" s="375">
        <f t="shared" si="4"/>
        <v>5.2249999999999996</v>
      </c>
      <c r="D39" s="375">
        <f t="shared" si="4"/>
        <v>4.3</v>
      </c>
      <c r="E39" s="375">
        <f t="shared" si="4"/>
        <v>3.4699999999999993</v>
      </c>
      <c r="F39" s="375">
        <f t="shared" si="4"/>
        <v>2.9000000000000004</v>
      </c>
      <c r="G39" s="375">
        <f t="shared" si="4"/>
        <v>1.0319999999999991</v>
      </c>
      <c r="H39" s="375">
        <f t="shared" si="4"/>
        <v>6.2500000000000056E-2</v>
      </c>
      <c r="I39" s="375">
        <f t="shared" si="4"/>
        <v>0</v>
      </c>
      <c r="J39" s="375">
        <f t="shared" si="4"/>
        <v>0</v>
      </c>
      <c r="K39" s="375">
        <f t="shared" si="4"/>
        <v>0</v>
      </c>
      <c r="L39" s="375">
        <f t="shared" si="4"/>
        <v>0</v>
      </c>
      <c r="M39" s="375">
        <f t="shared" si="4"/>
        <v>0</v>
      </c>
      <c r="N39" s="375">
        <f t="shared" si="4"/>
        <v>0</v>
      </c>
      <c r="O39" s="375">
        <f t="shared" si="4"/>
        <v>0</v>
      </c>
      <c r="P39" s="375">
        <f t="shared" si="4"/>
        <v>0</v>
      </c>
      <c r="Q39" s="375">
        <f t="shared" si="4"/>
        <v>0</v>
      </c>
      <c r="R39" s="375">
        <f t="shared" si="4"/>
        <v>0</v>
      </c>
      <c r="S39" s="375">
        <f t="shared" si="4"/>
        <v>0</v>
      </c>
      <c r="T39" s="375">
        <f t="shared" si="4"/>
        <v>0</v>
      </c>
      <c r="U39" s="375">
        <f t="shared" si="4"/>
        <v>0</v>
      </c>
      <c r="V39" s="375">
        <f t="shared" si="4"/>
        <v>0</v>
      </c>
      <c r="W39" s="375">
        <f t="shared" si="4"/>
        <v>0</v>
      </c>
      <c r="X39" s="375">
        <f t="shared" si="4"/>
        <v>0</v>
      </c>
      <c r="Y39" s="369"/>
    </row>
    <row r="40" spans="1:25" ht="13.5" thickBot="1" x14ac:dyDescent="0.25">
      <c r="A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thickBot="1" x14ac:dyDescent="0.25">
      <c r="A41" s="361" t="s">
        <v>315</v>
      </c>
      <c r="B41" s="359">
        <f>ROW(A41)</f>
        <v>41</v>
      </c>
      <c r="C41" s="363" t="s">
        <v>118</v>
      </c>
      <c r="D41" s="353">
        <f>SUM(B44:Y44)</f>
        <v>19.415000000000003</v>
      </c>
      <c r="E41" s="363" t="s">
        <v>117</v>
      </c>
      <c r="F41" s="399">
        <f>D41/g/J41</f>
        <v>2.6388039415562354</v>
      </c>
      <c r="G41" s="363" t="s">
        <v>59</v>
      </c>
      <c r="H41" s="64">
        <v>0.75</v>
      </c>
      <c r="I41" s="363" t="s">
        <v>274</v>
      </c>
      <c r="J41" s="355">
        <f>H41-L41</f>
        <v>0.75</v>
      </c>
      <c r="K41" s="363" t="s">
        <v>275</v>
      </c>
      <c r="L41" s="64">
        <v>0</v>
      </c>
      <c r="M41" s="363" t="s">
        <v>60</v>
      </c>
      <c r="N41" s="65">
        <f>0.5*R41</f>
        <v>150</v>
      </c>
      <c r="O41" s="363" t="s">
        <v>62</v>
      </c>
      <c r="P41" s="65">
        <v>150</v>
      </c>
      <c r="Q41" s="363" t="s">
        <v>63</v>
      </c>
      <c r="R41" s="65">
        <v>300</v>
      </c>
      <c r="S41" s="363" t="s">
        <v>64</v>
      </c>
      <c r="T41" s="65">
        <v>90</v>
      </c>
      <c r="U41" s="363" t="s">
        <v>57</v>
      </c>
      <c r="V41" s="66" t="s">
        <v>279</v>
      </c>
      <c r="W41" s="12"/>
      <c r="X41" s="12"/>
      <c r="Y41" s="12"/>
    </row>
    <row r="42" spans="1:25" x14ac:dyDescent="0.2">
      <c r="A42" s="362" t="s">
        <v>33</v>
      </c>
      <c r="B42" s="370">
        <v>0</v>
      </c>
      <c r="C42" s="371">
        <v>1E-3</v>
      </c>
      <c r="D42" s="371">
        <v>0.02</v>
      </c>
      <c r="E42" s="371">
        <v>0.04</v>
      </c>
      <c r="F42" s="371">
        <v>0.06</v>
      </c>
      <c r="G42" s="371">
        <v>0.08</v>
      </c>
      <c r="H42" s="371">
        <v>0.1</v>
      </c>
      <c r="I42" s="371">
        <v>0.123</v>
      </c>
      <c r="J42" s="371">
        <v>0.124</v>
      </c>
      <c r="K42" s="371">
        <v>0.124</v>
      </c>
      <c r="L42" s="371">
        <v>0.124</v>
      </c>
      <c r="M42" s="371">
        <v>0.124</v>
      </c>
      <c r="N42" s="371">
        <v>0.124</v>
      </c>
      <c r="O42" s="371">
        <v>0.124</v>
      </c>
      <c r="P42" s="371">
        <v>0.124</v>
      </c>
      <c r="Q42" s="371">
        <v>0.124</v>
      </c>
      <c r="R42" s="371">
        <v>0.124</v>
      </c>
      <c r="S42" s="371">
        <v>0.124</v>
      </c>
      <c r="T42" s="371">
        <v>0.124</v>
      </c>
      <c r="U42" s="371">
        <v>0.124</v>
      </c>
      <c r="V42" s="371">
        <v>0.124</v>
      </c>
      <c r="W42" s="371">
        <v>0.124</v>
      </c>
      <c r="X42" s="371">
        <v>0.124</v>
      </c>
      <c r="Y42" s="381">
        <v>1000</v>
      </c>
    </row>
    <row r="43" spans="1:25" x14ac:dyDescent="0.2">
      <c r="A43" s="378" t="s">
        <v>34</v>
      </c>
      <c r="B43" s="372">
        <v>0</v>
      </c>
      <c r="C43" s="373">
        <v>310</v>
      </c>
      <c r="D43" s="373">
        <v>230</v>
      </c>
      <c r="E43" s="373">
        <v>175</v>
      </c>
      <c r="F43" s="373">
        <v>140</v>
      </c>
      <c r="G43" s="373">
        <v>118</v>
      </c>
      <c r="H43" s="373">
        <v>100</v>
      </c>
      <c r="I43" s="373">
        <v>85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82">
        <v>0</v>
      </c>
    </row>
    <row r="44" spans="1:25" ht="13.5" thickBot="1" x14ac:dyDescent="0.25">
      <c r="A44" s="379" t="s">
        <v>119</v>
      </c>
      <c r="B44" s="374">
        <f t="shared" ref="B44:X44" si="5">(C43+B43)*(C42-B42)/2</f>
        <v>0.155</v>
      </c>
      <c r="C44" s="375">
        <f t="shared" si="5"/>
        <v>5.13</v>
      </c>
      <c r="D44" s="375">
        <f t="shared" si="5"/>
        <v>4.05</v>
      </c>
      <c r="E44" s="375">
        <f t="shared" si="5"/>
        <v>3.1499999999999995</v>
      </c>
      <c r="F44" s="375">
        <f t="shared" si="5"/>
        <v>2.5800000000000005</v>
      </c>
      <c r="G44" s="375">
        <f t="shared" si="5"/>
        <v>2.1800000000000006</v>
      </c>
      <c r="H44" s="375">
        <f t="shared" si="5"/>
        <v>2.1274999999999995</v>
      </c>
      <c r="I44" s="375">
        <f t="shared" si="5"/>
        <v>4.2500000000000038E-2</v>
      </c>
      <c r="J44" s="375">
        <f t="shared" si="5"/>
        <v>0</v>
      </c>
      <c r="K44" s="375">
        <f t="shared" si="5"/>
        <v>0</v>
      </c>
      <c r="L44" s="375">
        <f t="shared" si="5"/>
        <v>0</v>
      </c>
      <c r="M44" s="375">
        <f t="shared" si="5"/>
        <v>0</v>
      </c>
      <c r="N44" s="375">
        <f t="shared" si="5"/>
        <v>0</v>
      </c>
      <c r="O44" s="375">
        <f t="shared" si="5"/>
        <v>0</v>
      </c>
      <c r="P44" s="375">
        <f t="shared" si="5"/>
        <v>0</v>
      </c>
      <c r="Q44" s="375">
        <f t="shared" si="5"/>
        <v>0</v>
      </c>
      <c r="R44" s="375">
        <f t="shared" si="5"/>
        <v>0</v>
      </c>
      <c r="S44" s="375">
        <f t="shared" si="5"/>
        <v>0</v>
      </c>
      <c r="T44" s="375">
        <f t="shared" si="5"/>
        <v>0</v>
      </c>
      <c r="U44" s="375">
        <f t="shared" si="5"/>
        <v>0</v>
      </c>
      <c r="V44" s="375">
        <f t="shared" si="5"/>
        <v>0</v>
      </c>
      <c r="W44" s="375">
        <f t="shared" si="5"/>
        <v>0</v>
      </c>
      <c r="X44" s="375">
        <f t="shared" si="5"/>
        <v>0</v>
      </c>
      <c r="Y44" s="369"/>
    </row>
    <row r="45" spans="1:25" ht="13.5" thickBot="1" x14ac:dyDescent="0.25"/>
    <row r="46" spans="1:25" ht="13.5" thickBot="1" x14ac:dyDescent="0.25">
      <c r="A46" s="361" t="s">
        <v>280</v>
      </c>
      <c r="B46" s="359">
        <f>ROW(A46)</f>
        <v>46</v>
      </c>
      <c r="C46" s="363" t="s">
        <v>118</v>
      </c>
      <c r="D46" s="353">
        <f>SUM(B49:Y49)</f>
        <v>12.8695</v>
      </c>
      <c r="E46" s="363" t="s">
        <v>117</v>
      </c>
      <c r="F46" s="399">
        <f>D46/g/J46</f>
        <v>3.2796890927624869</v>
      </c>
      <c r="G46" s="363" t="s">
        <v>59</v>
      </c>
      <c r="H46" s="64">
        <v>0.5</v>
      </c>
      <c r="I46" s="363" t="s">
        <v>274</v>
      </c>
      <c r="J46" s="355">
        <f>H46-L46</f>
        <v>0.4</v>
      </c>
      <c r="K46" s="363" t="s">
        <v>275</v>
      </c>
      <c r="L46" s="64">
        <v>0.1</v>
      </c>
      <c r="M46" s="363" t="s">
        <v>60</v>
      </c>
      <c r="N46" s="65">
        <f>0.2*R46</f>
        <v>60</v>
      </c>
      <c r="O46" s="363" t="s">
        <v>62</v>
      </c>
      <c r="P46" s="65">
        <v>150</v>
      </c>
      <c r="Q46" s="363" t="s">
        <v>63</v>
      </c>
      <c r="R46" s="65">
        <v>300</v>
      </c>
      <c r="S46" s="363" t="s">
        <v>64</v>
      </c>
      <c r="T46" s="65">
        <v>98</v>
      </c>
      <c r="U46" s="363" t="s">
        <v>57</v>
      </c>
      <c r="V46" s="66" t="s">
        <v>279</v>
      </c>
      <c r="W46" s="12"/>
      <c r="X46" s="12"/>
      <c r="Y46" s="12"/>
    </row>
    <row r="47" spans="1:25" x14ac:dyDescent="0.2">
      <c r="A47" s="362" t="s">
        <v>33</v>
      </c>
      <c r="B47" s="370">
        <v>0</v>
      </c>
      <c r="C47" s="371">
        <v>1E-3</v>
      </c>
      <c r="D47" s="371">
        <v>0.02</v>
      </c>
      <c r="E47" s="371">
        <v>0.04</v>
      </c>
      <c r="F47" s="371">
        <v>0.05</v>
      </c>
      <c r="G47" s="371">
        <v>5.0999999999999997E-2</v>
      </c>
      <c r="H47" s="371">
        <v>5.0999999999999997E-2</v>
      </c>
      <c r="I47" s="371">
        <v>5.0999999999999997E-2</v>
      </c>
      <c r="J47" s="371">
        <v>5.0999999999999997E-2</v>
      </c>
      <c r="K47" s="371">
        <v>5.0999999999999997E-2</v>
      </c>
      <c r="L47" s="371">
        <v>5.0999999999999997E-2</v>
      </c>
      <c r="M47" s="371">
        <v>5.0999999999999997E-2</v>
      </c>
      <c r="N47" s="371">
        <v>5.0999999999999997E-2</v>
      </c>
      <c r="O47" s="371">
        <v>5.0999999999999997E-2</v>
      </c>
      <c r="P47" s="371">
        <v>5.0999999999999997E-2</v>
      </c>
      <c r="Q47" s="371">
        <v>5.0999999999999997E-2</v>
      </c>
      <c r="R47" s="371">
        <v>5.0999999999999997E-2</v>
      </c>
      <c r="S47" s="371">
        <v>5.0999999999999997E-2</v>
      </c>
      <c r="T47" s="371">
        <v>5.0999999999999997E-2</v>
      </c>
      <c r="U47" s="371">
        <v>5.0999999999999997E-2</v>
      </c>
      <c r="V47" s="371">
        <v>5.0999999999999997E-2</v>
      </c>
      <c r="W47" s="371">
        <v>5.0999999999999997E-2</v>
      </c>
      <c r="X47" s="371">
        <v>5.0999999999999997E-2</v>
      </c>
      <c r="Y47" s="381">
        <v>1000</v>
      </c>
    </row>
    <row r="48" spans="1:25" x14ac:dyDescent="0.2">
      <c r="A48" s="378" t="s">
        <v>34</v>
      </c>
      <c r="B48" s="372">
        <v>0</v>
      </c>
      <c r="C48" s="373">
        <v>310</v>
      </c>
      <c r="D48" s="373">
        <v>264</v>
      </c>
      <c r="E48" s="373">
        <v>230</v>
      </c>
      <c r="F48" s="373">
        <v>213</v>
      </c>
      <c r="G48" s="373">
        <v>0</v>
      </c>
      <c r="H48" s="373">
        <v>0</v>
      </c>
      <c r="I48" s="373">
        <v>0</v>
      </c>
      <c r="J48" s="373">
        <v>0</v>
      </c>
      <c r="K48" s="373">
        <v>0</v>
      </c>
      <c r="L48" s="373">
        <v>0</v>
      </c>
      <c r="M48" s="373">
        <v>0</v>
      </c>
      <c r="N48" s="373">
        <v>0</v>
      </c>
      <c r="O48" s="373">
        <v>0</v>
      </c>
      <c r="P48" s="373">
        <v>0</v>
      </c>
      <c r="Q48" s="373">
        <v>0</v>
      </c>
      <c r="R48" s="373">
        <v>0</v>
      </c>
      <c r="S48" s="373">
        <v>0</v>
      </c>
      <c r="T48" s="373">
        <v>0</v>
      </c>
      <c r="U48" s="373">
        <v>0</v>
      </c>
      <c r="V48" s="373">
        <v>0</v>
      </c>
      <c r="W48" s="373">
        <v>0</v>
      </c>
      <c r="X48" s="373">
        <v>0</v>
      </c>
      <c r="Y48" s="382">
        <v>0</v>
      </c>
    </row>
    <row r="49" spans="1:25" ht="13.5" thickBot="1" x14ac:dyDescent="0.25">
      <c r="A49" s="379" t="s">
        <v>119</v>
      </c>
      <c r="B49" s="374">
        <f t="shared" ref="B49:X49" si="6">(C48+B48)*(C47-B47)/2</f>
        <v>0.155</v>
      </c>
      <c r="C49" s="375">
        <f t="shared" si="6"/>
        <v>5.4530000000000003</v>
      </c>
      <c r="D49" s="375">
        <f t="shared" si="6"/>
        <v>4.9400000000000004</v>
      </c>
      <c r="E49" s="375">
        <f t="shared" si="6"/>
        <v>2.2150000000000003</v>
      </c>
      <c r="F49" s="375">
        <f t="shared" si="6"/>
        <v>0.10649999999999936</v>
      </c>
      <c r="G49" s="375">
        <f t="shared" si="6"/>
        <v>0</v>
      </c>
      <c r="H49" s="375">
        <f t="shared" si="6"/>
        <v>0</v>
      </c>
      <c r="I49" s="375">
        <f t="shared" si="6"/>
        <v>0</v>
      </c>
      <c r="J49" s="375">
        <f t="shared" si="6"/>
        <v>0</v>
      </c>
      <c r="K49" s="375">
        <f t="shared" si="6"/>
        <v>0</v>
      </c>
      <c r="L49" s="375">
        <f t="shared" si="6"/>
        <v>0</v>
      </c>
      <c r="M49" s="375">
        <f t="shared" si="6"/>
        <v>0</v>
      </c>
      <c r="N49" s="375">
        <f t="shared" si="6"/>
        <v>0</v>
      </c>
      <c r="O49" s="375">
        <f t="shared" si="6"/>
        <v>0</v>
      </c>
      <c r="P49" s="375">
        <f t="shared" si="6"/>
        <v>0</v>
      </c>
      <c r="Q49" s="375">
        <f t="shared" si="6"/>
        <v>0</v>
      </c>
      <c r="R49" s="375">
        <f t="shared" si="6"/>
        <v>0</v>
      </c>
      <c r="S49" s="375">
        <f t="shared" si="6"/>
        <v>0</v>
      </c>
      <c r="T49" s="375">
        <f t="shared" si="6"/>
        <v>0</v>
      </c>
      <c r="U49" s="375">
        <f t="shared" si="6"/>
        <v>0</v>
      </c>
      <c r="V49" s="375">
        <f t="shared" si="6"/>
        <v>0</v>
      </c>
      <c r="W49" s="375">
        <f t="shared" si="6"/>
        <v>0</v>
      </c>
      <c r="X49" s="375">
        <f t="shared" si="6"/>
        <v>0</v>
      </c>
      <c r="Y49" s="369"/>
    </row>
    <row r="50" spans="1:25" ht="13.5" thickBot="1" x14ac:dyDescent="0.25">
      <c r="A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thickBot="1" x14ac:dyDescent="0.25">
      <c r="A51" s="361" t="s">
        <v>281</v>
      </c>
      <c r="B51" s="359">
        <f>ROW(A51)</f>
        <v>51</v>
      </c>
      <c r="C51" s="363" t="s">
        <v>118</v>
      </c>
      <c r="D51" s="353">
        <f>SUM(B54:Y54)</f>
        <v>18.123500000000003</v>
      </c>
      <c r="E51" s="363" t="s">
        <v>117</v>
      </c>
      <c r="F51" s="399">
        <f>D51/g/J51</f>
        <v>3.0790859667006463</v>
      </c>
      <c r="G51" s="363" t="s">
        <v>59</v>
      </c>
      <c r="H51" s="64">
        <v>0.7</v>
      </c>
      <c r="I51" s="363" t="s">
        <v>274</v>
      </c>
      <c r="J51" s="355">
        <f>H51-L51</f>
        <v>0.6</v>
      </c>
      <c r="K51" s="363" t="s">
        <v>275</v>
      </c>
      <c r="L51" s="64">
        <v>0.1</v>
      </c>
      <c r="M51" s="363" t="s">
        <v>60</v>
      </c>
      <c r="N51" s="65">
        <f>0.3*R51</f>
        <v>90</v>
      </c>
      <c r="O51" s="363" t="s">
        <v>62</v>
      </c>
      <c r="P51" s="65">
        <v>150</v>
      </c>
      <c r="Q51" s="363" t="s">
        <v>63</v>
      </c>
      <c r="R51" s="65">
        <v>300</v>
      </c>
      <c r="S51" s="363" t="s">
        <v>64</v>
      </c>
      <c r="T51" s="65">
        <v>98</v>
      </c>
      <c r="U51" s="363" t="s">
        <v>57</v>
      </c>
      <c r="V51" s="66" t="s">
        <v>279</v>
      </c>
      <c r="W51" s="12"/>
      <c r="X51" s="12"/>
      <c r="Y51" s="12"/>
    </row>
    <row r="52" spans="1:25" x14ac:dyDescent="0.2">
      <c r="A52" s="362" t="s">
        <v>33</v>
      </c>
      <c r="B52" s="370">
        <v>0</v>
      </c>
      <c r="C52" s="371">
        <v>1E-3</v>
      </c>
      <c r="D52" s="371">
        <v>0.02</v>
      </c>
      <c r="E52" s="371">
        <v>0.04</v>
      </c>
      <c r="F52" s="371">
        <v>0.06</v>
      </c>
      <c r="G52" s="371">
        <v>0.08</v>
      </c>
      <c r="H52" s="371">
        <v>8.1000000000000003E-2</v>
      </c>
      <c r="I52" s="371">
        <v>8.1000000000000003E-2</v>
      </c>
      <c r="J52" s="371">
        <v>8.1000000000000003E-2</v>
      </c>
      <c r="K52" s="371">
        <v>8.1000000000000003E-2</v>
      </c>
      <c r="L52" s="371">
        <v>8.1000000000000003E-2</v>
      </c>
      <c r="M52" s="371">
        <v>8.1000000000000003E-2</v>
      </c>
      <c r="N52" s="371">
        <v>8.1000000000000003E-2</v>
      </c>
      <c r="O52" s="371">
        <v>8.1000000000000003E-2</v>
      </c>
      <c r="P52" s="371">
        <v>8.1000000000000003E-2</v>
      </c>
      <c r="Q52" s="371">
        <v>8.1000000000000003E-2</v>
      </c>
      <c r="R52" s="371">
        <v>8.1000000000000003E-2</v>
      </c>
      <c r="S52" s="371">
        <v>8.1000000000000003E-2</v>
      </c>
      <c r="T52" s="371">
        <v>8.1000000000000003E-2</v>
      </c>
      <c r="U52" s="371">
        <v>8.1000000000000003E-2</v>
      </c>
      <c r="V52" s="371">
        <v>8.1000000000000003E-2</v>
      </c>
      <c r="W52" s="371">
        <v>8.1000000000000003E-2</v>
      </c>
      <c r="X52" s="371">
        <v>8.1000000000000003E-2</v>
      </c>
      <c r="Y52" s="381">
        <v>1000</v>
      </c>
    </row>
    <row r="53" spans="1:25" x14ac:dyDescent="0.2">
      <c r="A53" s="378" t="s">
        <v>34</v>
      </c>
      <c r="B53" s="372">
        <v>0</v>
      </c>
      <c r="C53" s="373">
        <v>310</v>
      </c>
      <c r="D53" s="373">
        <v>260</v>
      </c>
      <c r="E53" s="373">
        <v>220</v>
      </c>
      <c r="F53" s="373">
        <v>190</v>
      </c>
      <c r="G53" s="373">
        <v>167</v>
      </c>
      <c r="H53" s="373">
        <v>0</v>
      </c>
      <c r="I53" s="373">
        <v>0</v>
      </c>
      <c r="J53" s="373">
        <v>0</v>
      </c>
      <c r="K53" s="373">
        <v>0</v>
      </c>
      <c r="L53" s="373">
        <v>0</v>
      </c>
      <c r="M53" s="373">
        <v>0</v>
      </c>
      <c r="N53" s="373">
        <v>0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3">
        <v>0</v>
      </c>
      <c r="V53" s="373">
        <v>0</v>
      </c>
      <c r="W53" s="373">
        <v>0</v>
      </c>
      <c r="X53" s="373">
        <v>0</v>
      </c>
      <c r="Y53" s="382">
        <v>0</v>
      </c>
    </row>
    <row r="54" spans="1:25" ht="13.5" thickBot="1" x14ac:dyDescent="0.25">
      <c r="A54" s="379" t="s">
        <v>119</v>
      </c>
      <c r="B54" s="374">
        <f t="shared" ref="B54:X54" si="7">(C53+B53)*(C52-B52)/2</f>
        <v>0.155</v>
      </c>
      <c r="C54" s="375">
        <f t="shared" si="7"/>
        <v>5.415</v>
      </c>
      <c r="D54" s="375">
        <f t="shared" si="7"/>
        <v>4.8</v>
      </c>
      <c r="E54" s="375">
        <f t="shared" si="7"/>
        <v>4.0999999999999996</v>
      </c>
      <c r="F54" s="375">
        <f t="shared" si="7"/>
        <v>3.5700000000000007</v>
      </c>
      <c r="G54" s="375">
        <f t="shared" si="7"/>
        <v>8.3500000000000074E-2</v>
      </c>
      <c r="H54" s="375">
        <f t="shared" si="7"/>
        <v>0</v>
      </c>
      <c r="I54" s="375">
        <f t="shared" si="7"/>
        <v>0</v>
      </c>
      <c r="J54" s="375">
        <f t="shared" si="7"/>
        <v>0</v>
      </c>
      <c r="K54" s="375">
        <f t="shared" si="7"/>
        <v>0</v>
      </c>
      <c r="L54" s="375">
        <f t="shared" si="7"/>
        <v>0</v>
      </c>
      <c r="M54" s="375">
        <f t="shared" si="7"/>
        <v>0</v>
      </c>
      <c r="N54" s="375">
        <f t="shared" si="7"/>
        <v>0</v>
      </c>
      <c r="O54" s="375">
        <f t="shared" si="7"/>
        <v>0</v>
      </c>
      <c r="P54" s="375">
        <f t="shared" si="7"/>
        <v>0</v>
      </c>
      <c r="Q54" s="375">
        <f t="shared" si="7"/>
        <v>0</v>
      </c>
      <c r="R54" s="375">
        <f t="shared" si="7"/>
        <v>0</v>
      </c>
      <c r="S54" s="375">
        <f t="shared" si="7"/>
        <v>0</v>
      </c>
      <c r="T54" s="375">
        <f t="shared" si="7"/>
        <v>0</v>
      </c>
      <c r="U54" s="375">
        <f t="shared" si="7"/>
        <v>0</v>
      </c>
      <c r="V54" s="375">
        <f t="shared" si="7"/>
        <v>0</v>
      </c>
      <c r="W54" s="375">
        <f t="shared" si="7"/>
        <v>0</v>
      </c>
      <c r="X54" s="375">
        <f t="shared" si="7"/>
        <v>0</v>
      </c>
      <c r="Y54" s="369"/>
    </row>
    <row r="55" spans="1:25" ht="13.5" thickBo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thickBot="1" x14ac:dyDescent="0.25">
      <c r="A56" s="361" t="s">
        <v>282</v>
      </c>
      <c r="B56" s="359">
        <f>ROW(A56)</f>
        <v>56</v>
      </c>
      <c r="C56" s="363" t="s">
        <v>118</v>
      </c>
      <c r="D56" s="353">
        <f>SUM(B59:Y59)</f>
        <v>22.610000000000003</v>
      </c>
      <c r="E56" s="363" t="s">
        <v>117</v>
      </c>
      <c r="F56" s="399">
        <f>D56/g/J56</f>
        <v>2.88098878695209</v>
      </c>
      <c r="G56" s="363" t="s">
        <v>59</v>
      </c>
      <c r="H56" s="64">
        <v>0.9</v>
      </c>
      <c r="I56" s="363" t="s">
        <v>274</v>
      </c>
      <c r="J56" s="355">
        <f>H56-L56</f>
        <v>0.8</v>
      </c>
      <c r="K56" s="363" t="s">
        <v>275</v>
      </c>
      <c r="L56" s="64">
        <v>0.1</v>
      </c>
      <c r="M56" s="363" t="s">
        <v>60</v>
      </c>
      <c r="N56" s="65">
        <f>0.4*R56</f>
        <v>120</v>
      </c>
      <c r="O56" s="363" t="s">
        <v>62</v>
      </c>
      <c r="P56" s="65">
        <v>150</v>
      </c>
      <c r="Q56" s="363" t="s">
        <v>63</v>
      </c>
      <c r="R56" s="65">
        <v>300</v>
      </c>
      <c r="S56" s="363" t="s">
        <v>64</v>
      </c>
      <c r="T56" s="65">
        <v>98</v>
      </c>
      <c r="U56" s="363" t="s">
        <v>57</v>
      </c>
      <c r="V56" s="66" t="s">
        <v>279</v>
      </c>
      <c r="W56" s="12"/>
      <c r="X56" s="12"/>
      <c r="Y56" s="12"/>
    </row>
    <row r="57" spans="1:25" x14ac:dyDescent="0.2">
      <c r="A57" s="362" t="s">
        <v>33</v>
      </c>
      <c r="B57" s="370">
        <v>0</v>
      </c>
      <c r="C57" s="371">
        <v>1E-3</v>
      </c>
      <c r="D57" s="371">
        <v>0.02</v>
      </c>
      <c r="E57" s="371">
        <v>0.04</v>
      </c>
      <c r="F57" s="371">
        <v>0.06</v>
      </c>
      <c r="G57" s="371">
        <v>0.08</v>
      </c>
      <c r="H57" s="371">
        <v>0.1</v>
      </c>
      <c r="I57" s="371">
        <v>0.11700000000000001</v>
      </c>
      <c r="J57" s="371">
        <v>0.11799999999999999</v>
      </c>
      <c r="K57" s="371">
        <v>0.11799999999999999</v>
      </c>
      <c r="L57" s="371">
        <v>0.11799999999999999</v>
      </c>
      <c r="M57" s="371">
        <v>0.11799999999999999</v>
      </c>
      <c r="N57" s="371">
        <v>0.11799999999999999</v>
      </c>
      <c r="O57" s="371">
        <v>0.11799999999999999</v>
      </c>
      <c r="P57" s="371">
        <v>0.11799999999999999</v>
      </c>
      <c r="Q57" s="371">
        <v>0.11799999999999999</v>
      </c>
      <c r="R57" s="371">
        <v>0.11799999999999999</v>
      </c>
      <c r="S57" s="371">
        <v>0.11799999999999999</v>
      </c>
      <c r="T57" s="371">
        <v>0.11799999999999999</v>
      </c>
      <c r="U57" s="371">
        <v>0.11799999999999999</v>
      </c>
      <c r="V57" s="371">
        <v>0.11799999999999999</v>
      </c>
      <c r="W57" s="371">
        <v>0.11799999999999999</v>
      </c>
      <c r="X57" s="371">
        <v>0.11799999999999999</v>
      </c>
      <c r="Y57" s="381">
        <v>1000</v>
      </c>
    </row>
    <row r="58" spans="1:25" x14ac:dyDescent="0.2">
      <c r="A58" s="378" t="s">
        <v>34</v>
      </c>
      <c r="B58" s="372">
        <v>0</v>
      </c>
      <c r="C58" s="373">
        <v>310</v>
      </c>
      <c r="D58" s="373">
        <v>250</v>
      </c>
      <c r="E58" s="373">
        <v>210</v>
      </c>
      <c r="F58" s="373">
        <v>180</v>
      </c>
      <c r="G58" s="373">
        <v>156</v>
      </c>
      <c r="H58" s="373">
        <v>140</v>
      </c>
      <c r="I58" s="373">
        <v>125</v>
      </c>
      <c r="J58" s="373">
        <v>0</v>
      </c>
      <c r="K58" s="373">
        <v>0</v>
      </c>
      <c r="L58" s="373">
        <v>0</v>
      </c>
      <c r="M58" s="373">
        <v>0</v>
      </c>
      <c r="N58" s="373">
        <v>0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3">
        <v>0</v>
      </c>
      <c r="V58" s="373">
        <v>0</v>
      </c>
      <c r="W58" s="373">
        <v>0</v>
      </c>
      <c r="X58" s="373">
        <v>0</v>
      </c>
      <c r="Y58" s="382">
        <v>0</v>
      </c>
    </row>
    <row r="59" spans="1:25" ht="13.5" thickBot="1" x14ac:dyDescent="0.25">
      <c r="A59" s="379" t="s">
        <v>119</v>
      </c>
      <c r="B59" s="374">
        <f t="shared" ref="B59:X59" si="8">(C58+B58)*(C57-B57)/2</f>
        <v>0.155</v>
      </c>
      <c r="C59" s="375">
        <f t="shared" si="8"/>
        <v>5.32</v>
      </c>
      <c r="D59" s="375">
        <f t="shared" si="8"/>
        <v>4.6000000000000005</v>
      </c>
      <c r="E59" s="375">
        <f t="shared" si="8"/>
        <v>3.8999999999999995</v>
      </c>
      <c r="F59" s="375">
        <f t="shared" si="8"/>
        <v>3.3600000000000008</v>
      </c>
      <c r="G59" s="375">
        <f t="shared" si="8"/>
        <v>2.9600000000000004</v>
      </c>
      <c r="H59" s="375">
        <f t="shared" si="8"/>
        <v>2.2524999999999999</v>
      </c>
      <c r="I59" s="375">
        <f t="shared" si="8"/>
        <v>6.2499999999999188E-2</v>
      </c>
      <c r="J59" s="375">
        <f t="shared" si="8"/>
        <v>0</v>
      </c>
      <c r="K59" s="375">
        <f t="shared" si="8"/>
        <v>0</v>
      </c>
      <c r="L59" s="375">
        <f t="shared" si="8"/>
        <v>0</v>
      </c>
      <c r="M59" s="375">
        <f t="shared" si="8"/>
        <v>0</v>
      </c>
      <c r="N59" s="375">
        <f t="shared" si="8"/>
        <v>0</v>
      </c>
      <c r="O59" s="375">
        <f t="shared" si="8"/>
        <v>0</v>
      </c>
      <c r="P59" s="375">
        <f t="shared" si="8"/>
        <v>0</v>
      </c>
      <c r="Q59" s="375">
        <f t="shared" si="8"/>
        <v>0</v>
      </c>
      <c r="R59" s="375">
        <f t="shared" si="8"/>
        <v>0</v>
      </c>
      <c r="S59" s="375">
        <f t="shared" si="8"/>
        <v>0</v>
      </c>
      <c r="T59" s="375">
        <f t="shared" si="8"/>
        <v>0</v>
      </c>
      <c r="U59" s="375">
        <f t="shared" si="8"/>
        <v>0</v>
      </c>
      <c r="V59" s="375">
        <f t="shared" si="8"/>
        <v>0</v>
      </c>
      <c r="W59" s="375">
        <f t="shared" si="8"/>
        <v>0</v>
      </c>
      <c r="X59" s="375">
        <f t="shared" si="8"/>
        <v>0</v>
      </c>
      <c r="Y59" s="369"/>
    </row>
    <row r="60" spans="1:25" ht="13.5" thickBot="1" x14ac:dyDescent="0.25">
      <c r="A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thickBot="1" x14ac:dyDescent="0.25">
      <c r="A61" s="361" t="s">
        <v>283</v>
      </c>
      <c r="B61" s="359">
        <f>ROW(A61)</f>
        <v>61</v>
      </c>
      <c r="C61" s="363" t="s">
        <v>118</v>
      </c>
      <c r="D61" s="353">
        <f>SUM(B64:Y64)</f>
        <v>25.874000000000006</v>
      </c>
      <c r="E61" s="363" t="s">
        <v>117</v>
      </c>
      <c r="F61" s="399">
        <f>D61/g/J61</f>
        <v>2.6375127420998985</v>
      </c>
      <c r="G61" s="363" t="s">
        <v>59</v>
      </c>
      <c r="H61" s="64">
        <v>1.1000000000000001</v>
      </c>
      <c r="I61" s="363" t="s">
        <v>274</v>
      </c>
      <c r="J61" s="355">
        <f>H61-L61</f>
        <v>1</v>
      </c>
      <c r="K61" s="363" t="s">
        <v>275</v>
      </c>
      <c r="L61" s="64">
        <v>0.1</v>
      </c>
      <c r="M61" s="363" t="s">
        <v>60</v>
      </c>
      <c r="N61" s="65">
        <f>0.5*R61</f>
        <v>150</v>
      </c>
      <c r="O61" s="363" t="s">
        <v>62</v>
      </c>
      <c r="P61" s="65">
        <v>150</v>
      </c>
      <c r="Q61" s="363" t="s">
        <v>63</v>
      </c>
      <c r="R61" s="65">
        <v>300</v>
      </c>
      <c r="S61" s="363" t="s">
        <v>64</v>
      </c>
      <c r="T61" s="65">
        <v>98</v>
      </c>
      <c r="U61" s="363" t="s">
        <v>57</v>
      </c>
      <c r="V61" s="66" t="s">
        <v>279</v>
      </c>
      <c r="W61" s="12"/>
      <c r="X61" s="12"/>
      <c r="Y61" s="12"/>
    </row>
    <row r="62" spans="1:25" x14ac:dyDescent="0.2">
      <c r="A62" s="362" t="s">
        <v>33</v>
      </c>
      <c r="B62" s="370">
        <v>0</v>
      </c>
      <c r="C62" s="371">
        <v>1E-3</v>
      </c>
      <c r="D62" s="371">
        <v>0.02</v>
      </c>
      <c r="E62" s="371">
        <v>0.04</v>
      </c>
      <c r="F62" s="371">
        <v>0.06</v>
      </c>
      <c r="G62" s="371">
        <v>0.08</v>
      </c>
      <c r="H62" s="371">
        <v>0.1</v>
      </c>
      <c r="I62" s="371">
        <v>0.12</v>
      </c>
      <c r="J62" s="371">
        <v>0.14000000000000001</v>
      </c>
      <c r="K62" s="371">
        <v>0.16400000000000001</v>
      </c>
      <c r="L62" s="371">
        <v>0.16500000000000001</v>
      </c>
      <c r="M62" s="371">
        <v>0.16500000000000001</v>
      </c>
      <c r="N62" s="371">
        <v>0.16500000000000001</v>
      </c>
      <c r="O62" s="371">
        <v>0.16500000000000001</v>
      </c>
      <c r="P62" s="371">
        <v>0.16500000000000001</v>
      </c>
      <c r="Q62" s="371">
        <v>0.16500000000000001</v>
      </c>
      <c r="R62" s="371">
        <v>0.16500000000000001</v>
      </c>
      <c r="S62" s="371">
        <v>0.16500000000000001</v>
      </c>
      <c r="T62" s="371">
        <v>0.16500000000000001</v>
      </c>
      <c r="U62" s="371">
        <v>0.16500000000000001</v>
      </c>
      <c r="V62" s="371">
        <v>0.16500000000000001</v>
      </c>
      <c r="W62" s="371">
        <v>0.16500000000000001</v>
      </c>
      <c r="X62" s="371">
        <v>0.16500000000000001</v>
      </c>
      <c r="Y62" s="381">
        <v>1000</v>
      </c>
    </row>
    <row r="63" spans="1:25" x14ac:dyDescent="0.2">
      <c r="A63" s="378" t="s">
        <v>34</v>
      </c>
      <c r="B63" s="372">
        <v>0</v>
      </c>
      <c r="C63" s="373">
        <v>310</v>
      </c>
      <c r="D63" s="373">
        <v>245</v>
      </c>
      <c r="E63" s="373">
        <v>200</v>
      </c>
      <c r="F63" s="373">
        <v>165</v>
      </c>
      <c r="G63" s="373">
        <v>143</v>
      </c>
      <c r="H63" s="373">
        <v>124</v>
      </c>
      <c r="I63" s="373">
        <v>108</v>
      </c>
      <c r="J63" s="373">
        <v>97</v>
      </c>
      <c r="K63" s="373">
        <v>85</v>
      </c>
      <c r="L63" s="373">
        <v>0</v>
      </c>
      <c r="M63" s="373">
        <v>0</v>
      </c>
      <c r="N63" s="373">
        <v>0</v>
      </c>
      <c r="O63" s="373">
        <v>0</v>
      </c>
      <c r="P63" s="373">
        <v>0</v>
      </c>
      <c r="Q63" s="373">
        <v>0</v>
      </c>
      <c r="R63" s="373">
        <v>0</v>
      </c>
      <c r="S63" s="373">
        <v>0</v>
      </c>
      <c r="T63" s="373">
        <v>0</v>
      </c>
      <c r="U63" s="373">
        <v>0</v>
      </c>
      <c r="V63" s="373">
        <v>0</v>
      </c>
      <c r="W63" s="373">
        <v>0</v>
      </c>
      <c r="X63" s="373">
        <v>0</v>
      </c>
      <c r="Y63" s="382">
        <v>0</v>
      </c>
    </row>
    <row r="64" spans="1:25" ht="13.5" thickBot="1" x14ac:dyDescent="0.25">
      <c r="A64" s="379" t="s">
        <v>119</v>
      </c>
      <c r="B64" s="374">
        <f t="shared" ref="B64:X64" si="9">(C63+B63)*(C62-B62)/2</f>
        <v>0.155</v>
      </c>
      <c r="C64" s="375">
        <f t="shared" si="9"/>
        <v>5.2725</v>
      </c>
      <c r="D64" s="375">
        <f t="shared" si="9"/>
        <v>4.45</v>
      </c>
      <c r="E64" s="375">
        <f t="shared" si="9"/>
        <v>3.6499999999999995</v>
      </c>
      <c r="F64" s="375">
        <f t="shared" si="9"/>
        <v>3.0800000000000005</v>
      </c>
      <c r="G64" s="375">
        <f t="shared" si="9"/>
        <v>2.6700000000000004</v>
      </c>
      <c r="H64" s="375">
        <f t="shared" si="9"/>
        <v>2.319999999999999</v>
      </c>
      <c r="I64" s="375">
        <f t="shared" si="9"/>
        <v>2.0500000000000016</v>
      </c>
      <c r="J64" s="375">
        <f t="shared" si="9"/>
        <v>2.1839999999999993</v>
      </c>
      <c r="K64" s="375">
        <f t="shared" si="9"/>
        <v>4.2500000000000038E-2</v>
      </c>
      <c r="L64" s="375">
        <f t="shared" si="9"/>
        <v>0</v>
      </c>
      <c r="M64" s="375">
        <f t="shared" si="9"/>
        <v>0</v>
      </c>
      <c r="N64" s="375">
        <f t="shared" si="9"/>
        <v>0</v>
      </c>
      <c r="O64" s="375">
        <f t="shared" si="9"/>
        <v>0</v>
      </c>
      <c r="P64" s="375">
        <f t="shared" si="9"/>
        <v>0</v>
      </c>
      <c r="Q64" s="375">
        <f t="shared" si="9"/>
        <v>0</v>
      </c>
      <c r="R64" s="375">
        <f t="shared" si="9"/>
        <v>0</v>
      </c>
      <c r="S64" s="375">
        <f t="shared" si="9"/>
        <v>0</v>
      </c>
      <c r="T64" s="375">
        <f t="shared" si="9"/>
        <v>0</v>
      </c>
      <c r="U64" s="375">
        <f t="shared" si="9"/>
        <v>0</v>
      </c>
      <c r="V64" s="375">
        <f t="shared" si="9"/>
        <v>0</v>
      </c>
      <c r="W64" s="375">
        <f t="shared" si="9"/>
        <v>0</v>
      </c>
      <c r="X64" s="375">
        <f t="shared" si="9"/>
        <v>0</v>
      </c>
      <c r="Y64" s="369"/>
    </row>
    <row r="66" spans="1:26" ht="13.5" thickBot="1" x14ac:dyDescent="0.25">
      <c r="A66" s="6" t="s">
        <v>184</v>
      </c>
    </row>
    <row r="67" spans="1:26" ht="13.5" thickBot="1" x14ac:dyDescent="0.25">
      <c r="A67" s="361" t="s">
        <v>114</v>
      </c>
      <c r="B67" s="359">
        <f>ROW(A67)</f>
        <v>67</v>
      </c>
      <c r="C67" s="363" t="s">
        <v>118</v>
      </c>
      <c r="D67" s="353">
        <f>SUM(B70:Y70)</f>
        <v>2.65</v>
      </c>
      <c r="E67" s="363" t="s">
        <v>117</v>
      </c>
      <c r="F67" s="354">
        <f>D67/g/J67</f>
        <v>54.026503567787969</v>
      </c>
      <c r="G67" s="363" t="s">
        <v>59</v>
      </c>
      <c r="H67" s="64">
        <v>1.4999999999999999E-2</v>
      </c>
      <c r="I67" s="363" t="s">
        <v>274</v>
      </c>
      <c r="J67" s="355">
        <f>H67-L67</f>
        <v>4.9999999999999992E-3</v>
      </c>
      <c r="K67" s="363" t="s">
        <v>275</v>
      </c>
      <c r="L67" s="64">
        <v>0.01</v>
      </c>
      <c r="M67" s="363" t="s">
        <v>60</v>
      </c>
      <c r="N67" s="65">
        <v>30</v>
      </c>
      <c r="O67" s="363" t="s">
        <v>62</v>
      </c>
      <c r="P67" s="65">
        <v>30</v>
      </c>
      <c r="Q67" s="363" t="s">
        <v>63</v>
      </c>
      <c r="R67" s="65">
        <v>70</v>
      </c>
      <c r="S67" s="363" t="s">
        <v>64</v>
      </c>
      <c r="T67" s="65">
        <v>15</v>
      </c>
      <c r="U67" s="363" t="s">
        <v>57</v>
      </c>
      <c r="V67" s="66" t="s">
        <v>120</v>
      </c>
      <c r="W67" s="463" t="s">
        <v>398</v>
      </c>
      <c r="X67" s="465">
        <v>0.32</v>
      </c>
      <c r="Y67" s="463" t="s">
        <v>397</v>
      </c>
      <c r="Z67" s="358">
        <v>3</v>
      </c>
    </row>
    <row r="68" spans="1:26" x14ac:dyDescent="0.2">
      <c r="A68" s="362" t="s">
        <v>33</v>
      </c>
      <c r="B68" s="370">
        <v>0</v>
      </c>
      <c r="C68" s="371">
        <v>0.2</v>
      </c>
      <c r="D68" s="371">
        <v>0.3</v>
      </c>
      <c r="E68" s="371">
        <v>0.4</v>
      </c>
      <c r="F68" s="371">
        <v>0.5</v>
      </c>
      <c r="G68" s="371">
        <v>0.55000000000000004</v>
      </c>
      <c r="H68" s="371">
        <v>0.6</v>
      </c>
      <c r="I68" s="371">
        <v>0.6</v>
      </c>
      <c r="J68" s="371">
        <v>0.6</v>
      </c>
      <c r="K68" s="371">
        <v>0.6</v>
      </c>
      <c r="L68" s="371">
        <v>0.6</v>
      </c>
      <c r="M68" s="371">
        <v>0.6</v>
      </c>
      <c r="N68" s="371">
        <v>0.6</v>
      </c>
      <c r="O68" s="371">
        <v>0.6</v>
      </c>
      <c r="P68" s="371">
        <v>0.6</v>
      </c>
      <c r="Q68" s="371">
        <v>0.6</v>
      </c>
      <c r="R68" s="371">
        <v>0.6</v>
      </c>
      <c r="S68" s="371">
        <v>0.6</v>
      </c>
      <c r="T68" s="371">
        <v>0.6</v>
      </c>
      <c r="U68" s="371">
        <v>0.6</v>
      </c>
      <c r="V68" s="371">
        <v>0.6</v>
      </c>
      <c r="W68" s="371">
        <v>0.6</v>
      </c>
      <c r="X68" s="371">
        <v>0.6</v>
      </c>
      <c r="Y68" s="381">
        <v>1000</v>
      </c>
    </row>
    <row r="69" spans="1:26" x14ac:dyDescent="0.2">
      <c r="A69" s="378" t="s">
        <v>34</v>
      </c>
      <c r="B69" s="372">
        <v>0</v>
      </c>
      <c r="C69" s="373">
        <v>9</v>
      </c>
      <c r="D69" s="373">
        <v>4.5</v>
      </c>
      <c r="E69" s="373">
        <v>4</v>
      </c>
      <c r="F69" s="373">
        <v>4</v>
      </c>
      <c r="G69" s="373">
        <v>3</v>
      </c>
      <c r="H69" s="373">
        <v>0</v>
      </c>
      <c r="I69" s="373">
        <v>0</v>
      </c>
      <c r="J69" s="373">
        <v>0</v>
      </c>
      <c r="K69" s="373">
        <v>0</v>
      </c>
      <c r="L69" s="373">
        <v>0</v>
      </c>
      <c r="M69" s="373">
        <v>0</v>
      </c>
      <c r="N69" s="373">
        <v>0</v>
      </c>
      <c r="O69" s="373">
        <v>0</v>
      </c>
      <c r="P69" s="373">
        <v>0</v>
      </c>
      <c r="Q69" s="373">
        <v>0</v>
      </c>
      <c r="R69" s="373">
        <v>0</v>
      </c>
      <c r="S69" s="373">
        <v>0</v>
      </c>
      <c r="T69" s="373">
        <v>0</v>
      </c>
      <c r="U69" s="373">
        <v>0</v>
      </c>
      <c r="V69" s="373">
        <v>0</v>
      </c>
      <c r="W69" s="373">
        <v>0</v>
      </c>
      <c r="X69" s="373">
        <v>0</v>
      </c>
      <c r="Y69" s="382">
        <v>0</v>
      </c>
    </row>
    <row r="70" spans="1:26" ht="13.5" thickBot="1" x14ac:dyDescent="0.25">
      <c r="A70" s="379" t="s">
        <v>119</v>
      </c>
      <c r="B70" s="374">
        <f t="shared" ref="B70:X70" si="10">(C69+B69)*(C68-B68)/2</f>
        <v>0.9</v>
      </c>
      <c r="C70" s="375">
        <f t="shared" si="10"/>
        <v>0.67499999999999982</v>
      </c>
      <c r="D70" s="375">
        <f t="shared" si="10"/>
        <v>0.42500000000000016</v>
      </c>
      <c r="E70" s="375">
        <f t="shared" si="10"/>
        <v>0.39999999999999991</v>
      </c>
      <c r="F70" s="375">
        <f t="shared" si="10"/>
        <v>0.17500000000000016</v>
      </c>
      <c r="G70" s="375">
        <f t="shared" si="10"/>
        <v>7.49999999999999E-2</v>
      </c>
      <c r="H70" s="375">
        <f t="shared" si="10"/>
        <v>0</v>
      </c>
      <c r="I70" s="375">
        <f t="shared" si="10"/>
        <v>0</v>
      </c>
      <c r="J70" s="375">
        <f t="shared" si="10"/>
        <v>0</v>
      </c>
      <c r="K70" s="375">
        <f t="shared" si="10"/>
        <v>0</v>
      </c>
      <c r="L70" s="375">
        <f t="shared" si="10"/>
        <v>0</v>
      </c>
      <c r="M70" s="375">
        <f t="shared" si="10"/>
        <v>0</v>
      </c>
      <c r="N70" s="375">
        <f t="shared" si="10"/>
        <v>0</v>
      </c>
      <c r="O70" s="375">
        <f t="shared" si="10"/>
        <v>0</v>
      </c>
      <c r="P70" s="375">
        <f t="shared" si="10"/>
        <v>0</v>
      </c>
      <c r="Q70" s="375">
        <f t="shared" si="10"/>
        <v>0</v>
      </c>
      <c r="R70" s="375">
        <f t="shared" si="10"/>
        <v>0</v>
      </c>
      <c r="S70" s="375">
        <f t="shared" si="10"/>
        <v>0</v>
      </c>
      <c r="T70" s="375">
        <f t="shared" si="10"/>
        <v>0</v>
      </c>
      <c r="U70" s="375">
        <f t="shared" si="10"/>
        <v>0</v>
      </c>
      <c r="V70" s="375">
        <f t="shared" si="10"/>
        <v>0</v>
      </c>
      <c r="W70" s="375">
        <f t="shared" si="10"/>
        <v>0</v>
      </c>
      <c r="X70" s="375">
        <f t="shared" si="10"/>
        <v>0</v>
      </c>
      <c r="Y70" s="369"/>
    </row>
    <row r="71" spans="1:26" ht="13.5" thickBot="1" x14ac:dyDescent="0.25">
      <c r="A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6" ht="13.5" thickBot="1" x14ac:dyDescent="0.25">
      <c r="A72" s="361" t="s">
        <v>115</v>
      </c>
      <c r="B72" s="359">
        <f>ROW(A72)</f>
        <v>72</v>
      </c>
      <c r="C72" s="363" t="s">
        <v>118</v>
      </c>
      <c r="D72" s="353">
        <f>SUM(B75:Y75)</f>
        <v>5.25</v>
      </c>
      <c r="E72" s="363" t="s">
        <v>117</v>
      </c>
      <c r="F72" s="354">
        <f>D72/g/J72</f>
        <v>89.1946992864424</v>
      </c>
      <c r="G72" s="363" t="s">
        <v>59</v>
      </c>
      <c r="H72" s="64">
        <v>0.02</v>
      </c>
      <c r="I72" s="363" t="s">
        <v>274</v>
      </c>
      <c r="J72" s="355">
        <f>H72-L72</f>
        <v>6.0000000000000001E-3</v>
      </c>
      <c r="K72" s="363" t="s">
        <v>275</v>
      </c>
      <c r="L72" s="64">
        <v>1.4E-2</v>
      </c>
      <c r="M72" s="363" t="s">
        <v>60</v>
      </c>
      <c r="N72" s="65">
        <v>30</v>
      </c>
      <c r="O72" s="363" t="s">
        <v>62</v>
      </c>
      <c r="P72" s="65">
        <v>30</v>
      </c>
      <c r="Q72" s="363" t="s">
        <v>63</v>
      </c>
      <c r="R72" s="65">
        <v>70</v>
      </c>
      <c r="S72" s="363" t="s">
        <v>64</v>
      </c>
      <c r="T72" s="65">
        <v>15</v>
      </c>
      <c r="U72" s="363" t="s">
        <v>57</v>
      </c>
      <c r="V72" s="66" t="s">
        <v>120</v>
      </c>
      <c r="W72" s="463" t="s">
        <v>398</v>
      </c>
      <c r="X72" s="465">
        <v>1.2</v>
      </c>
      <c r="Y72" s="463" t="s">
        <v>397</v>
      </c>
      <c r="Z72" s="358">
        <v>4</v>
      </c>
    </row>
    <row r="73" spans="1:26" x14ac:dyDescent="0.2">
      <c r="A73" s="362" t="s">
        <v>33</v>
      </c>
      <c r="B73" s="370">
        <v>0</v>
      </c>
      <c r="C73" s="371">
        <v>0.2</v>
      </c>
      <c r="D73" s="371">
        <v>0.3</v>
      </c>
      <c r="E73" s="371">
        <v>0.55000000000000004</v>
      </c>
      <c r="F73" s="371">
        <v>1.05</v>
      </c>
      <c r="G73" s="371">
        <v>1.1499999999999999</v>
      </c>
      <c r="H73" s="371">
        <v>1.1499999999999999</v>
      </c>
      <c r="I73" s="371">
        <v>1.1499999999999999</v>
      </c>
      <c r="J73" s="371">
        <v>1.1499999999999999</v>
      </c>
      <c r="K73" s="371">
        <v>1.1499999999999999</v>
      </c>
      <c r="L73" s="371">
        <v>1.1499999999999999</v>
      </c>
      <c r="M73" s="371">
        <v>1.1499999999999999</v>
      </c>
      <c r="N73" s="371">
        <v>1.1499999999999999</v>
      </c>
      <c r="O73" s="371">
        <v>1.1499999999999999</v>
      </c>
      <c r="P73" s="371">
        <v>1.1499999999999999</v>
      </c>
      <c r="Q73" s="371">
        <v>1.1499999999999999</v>
      </c>
      <c r="R73" s="371">
        <v>1.1499999999999999</v>
      </c>
      <c r="S73" s="371">
        <v>1.1499999999999999</v>
      </c>
      <c r="T73" s="371">
        <v>1.1499999999999999</v>
      </c>
      <c r="U73" s="371">
        <v>1.1499999999999999</v>
      </c>
      <c r="V73" s="371">
        <v>1.1499999999999999</v>
      </c>
      <c r="W73" s="371">
        <v>1.1499999999999999</v>
      </c>
      <c r="X73" s="371">
        <v>1.1499999999999999</v>
      </c>
      <c r="Y73" s="381">
        <v>1000</v>
      </c>
    </row>
    <row r="74" spans="1:26" x14ac:dyDescent="0.2">
      <c r="A74" s="378" t="s">
        <v>34</v>
      </c>
      <c r="B74" s="372">
        <v>0</v>
      </c>
      <c r="C74" s="373">
        <v>10</v>
      </c>
      <c r="D74" s="373">
        <v>6</v>
      </c>
      <c r="E74" s="373">
        <v>4</v>
      </c>
      <c r="F74" s="373">
        <v>4</v>
      </c>
      <c r="G74" s="373">
        <v>0</v>
      </c>
      <c r="H74" s="373">
        <v>0</v>
      </c>
      <c r="I74" s="373">
        <v>0</v>
      </c>
      <c r="J74" s="373">
        <v>0</v>
      </c>
      <c r="K74" s="373">
        <v>0</v>
      </c>
      <c r="L74" s="373">
        <v>0</v>
      </c>
      <c r="M74" s="373">
        <v>0</v>
      </c>
      <c r="N74" s="373">
        <v>0</v>
      </c>
      <c r="O74" s="373">
        <v>0</v>
      </c>
      <c r="P74" s="373">
        <v>0</v>
      </c>
      <c r="Q74" s="373">
        <v>0</v>
      </c>
      <c r="R74" s="373">
        <v>0</v>
      </c>
      <c r="S74" s="373">
        <v>0</v>
      </c>
      <c r="T74" s="373">
        <v>0</v>
      </c>
      <c r="U74" s="373">
        <v>0</v>
      </c>
      <c r="V74" s="373">
        <v>0</v>
      </c>
      <c r="W74" s="373">
        <v>0</v>
      </c>
      <c r="X74" s="373">
        <v>0</v>
      </c>
      <c r="Y74" s="382">
        <v>0</v>
      </c>
    </row>
    <row r="75" spans="1:26" ht="13.5" thickBot="1" x14ac:dyDescent="0.25">
      <c r="A75" s="379" t="s">
        <v>119</v>
      </c>
      <c r="B75" s="374">
        <f t="shared" ref="B75:V75" si="11">(C74+B74)*(C73-B73)/2</f>
        <v>1</v>
      </c>
      <c r="C75" s="375">
        <f t="shared" si="11"/>
        <v>0.79999999999999982</v>
      </c>
      <c r="D75" s="375">
        <f t="shared" si="11"/>
        <v>1.2500000000000002</v>
      </c>
      <c r="E75" s="375">
        <f t="shared" si="11"/>
        <v>2</v>
      </c>
      <c r="F75" s="375">
        <f t="shared" si="11"/>
        <v>0.19999999999999973</v>
      </c>
      <c r="G75" s="375">
        <f t="shared" si="11"/>
        <v>0</v>
      </c>
      <c r="H75" s="375">
        <f t="shared" si="11"/>
        <v>0</v>
      </c>
      <c r="I75" s="375">
        <f t="shared" si="11"/>
        <v>0</v>
      </c>
      <c r="J75" s="375">
        <f>(K74+J74)*(K73-J73)/2</f>
        <v>0</v>
      </c>
      <c r="K75" s="375">
        <f t="shared" si="11"/>
        <v>0</v>
      </c>
      <c r="L75" s="375">
        <f t="shared" si="11"/>
        <v>0</v>
      </c>
      <c r="M75" s="375">
        <f t="shared" si="11"/>
        <v>0</v>
      </c>
      <c r="N75" s="375">
        <f t="shared" si="11"/>
        <v>0</v>
      </c>
      <c r="O75" s="375">
        <f t="shared" si="11"/>
        <v>0</v>
      </c>
      <c r="P75" s="375">
        <f t="shared" si="11"/>
        <v>0</v>
      </c>
      <c r="Q75" s="375">
        <f t="shared" si="11"/>
        <v>0</v>
      </c>
      <c r="R75" s="375">
        <f t="shared" si="11"/>
        <v>0</v>
      </c>
      <c r="S75" s="375">
        <f>(T74+S74)*(T73-S73)/2</f>
        <v>0</v>
      </c>
      <c r="T75" s="375">
        <f t="shared" si="11"/>
        <v>0</v>
      </c>
      <c r="U75" s="375">
        <f t="shared" si="11"/>
        <v>0</v>
      </c>
      <c r="V75" s="375">
        <f t="shared" si="11"/>
        <v>0</v>
      </c>
      <c r="W75" s="375">
        <f>(X74+W74)*(X73-W73)/2</f>
        <v>0</v>
      </c>
      <c r="X75" s="375">
        <f>(Y74+X74)*(Y73-X73)/2</f>
        <v>0</v>
      </c>
      <c r="Y75" s="369"/>
    </row>
    <row r="76" spans="1:26" ht="13.5" thickBot="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6" ht="13.5" thickBot="1" x14ac:dyDescent="0.25">
      <c r="A77" s="361" t="s">
        <v>116</v>
      </c>
      <c r="B77" s="359">
        <f>ROW(A77)</f>
        <v>77</v>
      </c>
      <c r="C77" s="363" t="s">
        <v>118</v>
      </c>
      <c r="D77" s="353">
        <f>SUM(B80:Y80)</f>
        <v>10.26</v>
      </c>
      <c r="E77" s="363" t="s">
        <v>117</v>
      </c>
      <c r="F77" s="354">
        <f>D77/g/J77</f>
        <v>80.451658433309802</v>
      </c>
      <c r="G77" s="363" t="s">
        <v>59</v>
      </c>
      <c r="H77" s="64">
        <v>2.4E-2</v>
      </c>
      <c r="I77" s="363" t="s">
        <v>274</v>
      </c>
      <c r="J77" s="355">
        <f>H77-L77</f>
        <v>1.3000000000000001E-2</v>
      </c>
      <c r="K77" s="363" t="s">
        <v>275</v>
      </c>
      <c r="L77" s="64">
        <v>1.0999999999999999E-2</v>
      </c>
      <c r="M77" s="363" t="s">
        <v>60</v>
      </c>
      <c r="N77" s="65">
        <v>30</v>
      </c>
      <c r="O77" s="363" t="s">
        <v>62</v>
      </c>
      <c r="P77" s="65">
        <v>30</v>
      </c>
      <c r="Q77" s="363" t="s">
        <v>63</v>
      </c>
      <c r="R77" s="65">
        <v>70</v>
      </c>
      <c r="S77" s="363" t="s">
        <v>64</v>
      </c>
      <c r="T77" s="65">
        <v>15</v>
      </c>
      <c r="U77" s="363" t="s">
        <v>57</v>
      </c>
      <c r="V77" s="66" t="s">
        <v>120</v>
      </c>
      <c r="W77" s="463" t="s">
        <v>398</v>
      </c>
      <c r="X77" s="465">
        <v>1.7</v>
      </c>
      <c r="Y77" s="463" t="s">
        <v>397</v>
      </c>
      <c r="Z77" s="358">
        <v>3</v>
      </c>
    </row>
    <row r="78" spans="1:26" x14ac:dyDescent="0.2">
      <c r="A78" s="362" t="s">
        <v>33</v>
      </c>
      <c r="B78" s="370">
        <v>0</v>
      </c>
      <c r="C78" s="371">
        <v>0.2</v>
      </c>
      <c r="D78" s="371">
        <v>0.3</v>
      </c>
      <c r="E78" s="371">
        <v>0.6</v>
      </c>
      <c r="F78" s="371">
        <v>0.8</v>
      </c>
      <c r="G78" s="371">
        <v>2</v>
      </c>
      <c r="H78" s="371">
        <v>2.1</v>
      </c>
      <c r="I78" s="371">
        <v>2.1</v>
      </c>
      <c r="J78" s="371">
        <v>2.1</v>
      </c>
      <c r="K78" s="371">
        <v>2.1</v>
      </c>
      <c r="L78" s="371">
        <v>2.1</v>
      </c>
      <c r="M78" s="371">
        <v>2.1</v>
      </c>
      <c r="N78" s="371">
        <v>2.1</v>
      </c>
      <c r="O78" s="371">
        <v>2.1</v>
      </c>
      <c r="P78" s="371">
        <v>2.1</v>
      </c>
      <c r="Q78" s="371">
        <v>2.1</v>
      </c>
      <c r="R78" s="371">
        <v>2.1</v>
      </c>
      <c r="S78" s="371">
        <v>2.1</v>
      </c>
      <c r="T78" s="371">
        <v>2.1</v>
      </c>
      <c r="U78" s="371">
        <v>2.1</v>
      </c>
      <c r="V78" s="371">
        <v>2.1</v>
      </c>
      <c r="W78" s="371">
        <v>2.1</v>
      </c>
      <c r="X78" s="371">
        <v>2.1</v>
      </c>
      <c r="Y78" s="381">
        <v>1000</v>
      </c>
    </row>
    <row r="79" spans="1:26" x14ac:dyDescent="0.2">
      <c r="A79" s="378" t="s">
        <v>34</v>
      </c>
      <c r="B79" s="372">
        <v>0</v>
      </c>
      <c r="C79" s="373">
        <v>11</v>
      </c>
      <c r="D79" s="373">
        <v>7</v>
      </c>
      <c r="E79" s="373">
        <v>4</v>
      </c>
      <c r="F79" s="373">
        <v>4.5999999999999996</v>
      </c>
      <c r="G79" s="373">
        <v>4.5999999999999996</v>
      </c>
      <c r="H79" s="373">
        <v>0</v>
      </c>
      <c r="I79" s="373">
        <v>0</v>
      </c>
      <c r="J79" s="373">
        <v>0</v>
      </c>
      <c r="K79" s="373">
        <v>0</v>
      </c>
      <c r="L79" s="373">
        <v>0</v>
      </c>
      <c r="M79" s="373">
        <v>0</v>
      </c>
      <c r="N79" s="373">
        <v>0</v>
      </c>
      <c r="O79" s="373">
        <v>0</v>
      </c>
      <c r="P79" s="373">
        <v>0</v>
      </c>
      <c r="Q79" s="373">
        <v>0</v>
      </c>
      <c r="R79" s="373">
        <v>0</v>
      </c>
      <c r="S79" s="373">
        <v>0</v>
      </c>
      <c r="T79" s="373">
        <v>0</v>
      </c>
      <c r="U79" s="373">
        <v>0</v>
      </c>
      <c r="V79" s="373">
        <v>0</v>
      </c>
      <c r="W79" s="373">
        <v>0</v>
      </c>
      <c r="X79" s="373">
        <v>0</v>
      </c>
      <c r="Y79" s="382">
        <v>0</v>
      </c>
    </row>
    <row r="80" spans="1:26" ht="13.5" thickBot="1" x14ac:dyDescent="0.25">
      <c r="A80" s="379" t="s">
        <v>119</v>
      </c>
      <c r="B80" s="374">
        <f t="shared" ref="B80:G80" si="12">(C79+B79)*(C78-B78)/2</f>
        <v>1.1000000000000001</v>
      </c>
      <c r="C80" s="375">
        <f t="shared" si="12"/>
        <v>0.8999999999999998</v>
      </c>
      <c r="D80" s="375">
        <f t="shared" si="12"/>
        <v>1.65</v>
      </c>
      <c r="E80" s="375">
        <f t="shared" si="12"/>
        <v>0.86000000000000021</v>
      </c>
      <c r="F80" s="375">
        <f t="shared" si="12"/>
        <v>5.52</v>
      </c>
      <c r="G80" s="375">
        <f t="shared" si="12"/>
        <v>0.23000000000000018</v>
      </c>
      <c r="H80" s="375">
        <f t="shared" ref="H80:V80" si="13">(I79+H79)*(I78-H78)/2</f>
        <v>0</v>
      </c>
      <c r="I80" s="375">
        <f t="shared" si="13"/>
        <v>0</v>
      </c>
      <c r="J80" s="375">
        <f>(K79+J79)*(K78-J78)/2</f>
        <v>0</v>
      </c>
      <c r="K80" s="375">
        <f t="shared" si="13"/>
        <v>0</v>
      </c>
      <c r="L80" s="375">
        <f t="shared" si="13"/>
        <v>0</v>
      </c>
      <c r="M80" s="375">
        <f t="shared" si="13"/>
        <v>0</v>
      </c>
      <c r="N80" s="375">
        <f t="shared" si="13"/>
        <v>0</v>
      </c>
      <c r="O80" s="375">
        <f t="shared" si="13"/>
        <v>0</v>
      </c>
      <c r="P80" s="375">
        <f t="shared" si="13"/>
        <v>0</v>
      </c>
      <c r="Q80" s="375">
        <f t="shared" si="13"/>
        <v>0</v>
      </c>
      <c r="R80" s="375">
        <f t="shared" si="13"/>
        <v>0</v>
      </c>
      <c r="S80" s="375">
        <f>(T79+S79)*(T78-S78)/2</f>
        <v>0</v>
      </c>
      <c r="T80" s="375">
        <f t="shared" si="13"/>
        <v>0</v>
      </c>
      <c r="U80" s="375">
        <f t="shared" si="13"/>
        <v>0</v>
      </c>
      <c r="V80" s="375">
        <f t="shared" si="13"/>
        <v>0</v>
      </c>
      <c r="W80" s="375">
        <f>(X79+W79)*(X78-W78)/2</f>
        <v>0</v>
      </c>
      <c r="X80" s="375">
        <f>(Y79+X79)*(Y78-X78)/2</f>
        <v>0</v>
      </c>
      <c r="Y80" s="369"/>
    </row>
    <row r="81" spans="1:26" ht="13.5" thickBot="1" x14ac:dyDescent="0.25">
      <c r="A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6" ht="13.5" thickBot="1" x14ac:dyDescent="0.25">
      <c r="A82" s="361" t="s">
        <v>333</v>
      </c>
      <c r="B82" s="359">
        <f>ROW(A82)</f>
        <v>82</v>
      </c>
      <c r="C82" s="363" t="s">
        <v>118</v>
      </c>
      <c r="D82" s="353">
        <f>SUM(B85:Y85)</f>
        <v>20.52</v>
      </c>
      <c r="E82" s="363" t="s">
        <v>117</v>
      </c>
      <c r="F82" s="354">
        <f>D82/g/J82</f>
        <v>80.451658433309802</v>
      </c>
      <c r="G82" s="363" t="s">
        <v>59</v>
      </c>
      <c r="H82" s="64">
        <f>H77*2</f>
        <v>4.8000000000000001E-2</v>
      </c>
      <c r="I82" s="363" t="s">
        <v>274</v>
      </c>
      <c r="J82" s="355">
        <f>H82-L82</f>
        <v>2.6000000000000002E-2</v>
      </c>
      <c r="K82" s="363" t="s">
        <v>275</v>
      </c>
      <c r="L82" s="64">
        <f>L77*2</f>
        <v>2.1999999999999999E-2</v>
      </c>
      <c r="M82" s="363" t="s">
        <v>60</v>
      </c>
      <c r="N82" s="65">
        <v>30</v>
      </c>
      <c r="O82" s="363" t="s">
        <v>62</v>
      </c>
      <c r="P82" s="65">
        <v>30</v>
      </c>
      <c r="Q82" s="363" t="s">
        <v>63</v>
      </c>
      <c r="R82" s="65">
        <v>70</v>
      </c>
      <c r="S82" s="363" t="s">
        <v>64</v>
      </c>
      <c r="T82" s="65">
        <v>30</v>
      </c>
      <c r="U82" s="363" t="s">
        <v>57</v>
      </c>
      <c r="V82" s="66" t="s">
        <v>120</v>
      </c>
      <c r="W82" s="463" t="s">
        <v>398</v>
      </c>
      <c r="X82" s="465">
        <v>1.7</v>
      </c>
      <c r="Y82" s="463" t="s">
        <v>397</v>
      </c>
      <c r="Z82" s="358">
        <v>3</v>
      </c>
    </row>
    <row r="83" spans="1:26" x14ac:dyDescent="0.2">
      <c r="A83" s="362" t="s">
        <v>33</v>
      </c>
      <c r="B83" s="370">
        <v>0</v>
      </c>
      <c r="C83" s="371">
        <v>0.2</v>
      </c>
      <c r="D83" s="371">
        <v>0.3</v>
      </c>
      <c r="E83" s="371">
        <v>0.6</v>
      </c>
      <c r="F83" s="371">
        <v>0.8</v>
      </c>
      <c r="G83" s="371">
        <v>2</v>
      </c>
      <c r="H83" s="371">
        <v>2.1</v>
      </c>
      <c r="I83" s="371">
        <v>2.1</v>
      </c>
      <c r="J83" s="371">
        <v>2.1</v>
      </c>
      <c r="K83" s="371">
        <v>2.1</v>
      </c>
      <c r="L83" s="371">
        <v>2.1</v>
      </c>
      <c r="M83" s="371">
        <v>2.1</v>
      </c>
      <c r="N83" s="371">
        <v>2.1</v>
      </c>
      <c r="O83" s="371">
        <v>2.1</v>
      </c>
      <c r="P83" s="371">
        <v>2.1</v>
      </c>
      <c r="Q83" s="371">
        <v>2.1</v>
      </c>
      <c r="R83" s="371">
        <v>2.1</v>
      </c>
      <c r="S83" s="371">
        <v>2.1</v>
      </c>
      <c r="T83" s="371">
        <v>2.1</v>
      </c>
      <c r="U83" s="371">
        <v>2.1</v>
      </c>
      <c r="V83" s="371">
        <v>2.1</v>
      </c>
      <c r="W83" s="371">
        <v>2.1</v>
      </c>
      <c r="X83" s="371">
        <v>2.1</v>
      </c>
      <c r="Y83" s="381">
        <v>1000</v>
      </c>
    </row>
    <row r="84" spans="1:26" x14ac:dyDescent="0.2">
      <c r="A84" s="378" t="s">
        <v>34</v>
      </c>
      <c r="B84" s="372">
        <f>B79*2</f>
        <v>0</v>
      </c>
      <c r="C84" s="373">
        <f t="shared" ref="C84:X84" si="14">C79*2</f>
        <v>22</v>
      </c>
      <c r="D84" s="373">
        <f t="shared" si="14"/>
        <v>14</v>
      </c>
      <c r="E84" s="373">
        <f t="shared" si="14"/>
        <v>8</v>
      </c>
      <c r="F84" s="373">
        <f t="shared" si="14"/>
        <v>9.1999999999999993</v>
      </c>
      <c r="G84" s="373">
        <f t="shared" si="14"/>
        <v>9.1999999999999993</v>
      </c>
      <c r="H84" s="373">
        <f t="shared" si="14"/>
        <v>0</v>
      </c>
      <c r="I84" s="373">
        <f t="shared" si="14"/>
        <v>0</v>
      </c>
      <c r="J84" s="373">
        <f t="shared" si="14"/>
        <v>0</v>
      </c>
      <c r="K84" s="373">
        <f t="shared" si="14"/>
        <v>0</v>
      </c>
      <c r="L84" s="373">
        <f t="shared" si="14"/>
        <v>0</v>
      </c>
      <c r="M84" s="373">
        <f t="shared" si="14"/>
        <v>0</v>
      </c>
      <c r="N84" s="373">
        <f t="shared" si="14"/>
        <v>0</v>
      </c>
      <c r="O84" s="373">
        <f t="shared" si="14"/>
        <v>0</v>
      </c>
      <c r="P84" s="373">
        <f t="shared" si="14"/>
        <v>0</v>
      </c>
      <c r="Q84" s="373">
        <f t="shared" si="14"/>
        <v>0</v>
      </c>
      <c r="R84" s="373">
        <f t="shared" si="14"/>
        <v>0</v>
      </c>
      <c r="S84" s="373">
        <f t="shared" si="14"/>
        <v>0</v>
      </c>
      <c r="T84" s="373">
        <f t="shared" si="14"/>
        <v>0</v>
      </c>
      <c r="U84" s="373">
        <f t="shared" si="14"/>
        <v>0</v>
      </c>
      <c r="V84" s="373">
        <f t="shared" si="14"/>
        <v>0</v>
      </c>
      <c r="W84" s="373">
        <f t="shared" si="14"/>
        <v>0</v>
      </c>
      <c r="X84" s="373">
        <f t="shared" si="14"/>
        <v>0</v>
      </c>
      <c r="Y84" s="382">
        <v>0</v>
      </c>
    </row>
    <row r="85" spans="1:26" ht="13.5" thickBot="1" x14ac:dyDescent="0.25">
      <c r="A85" s="379" t="s">
        <v>119</v>
      </c>
      <c r="B85" s="374">
        <f t="shared" ref="B85:X85" si="15">(C84+B84)*(C83-B83)/2</f>
        <v>2.2000000000000002</v>
      </c>
      <c r="C85" s="375">
        <f t="shared" si="15"/>
        <v>1.7999999999999996</v>
      </c>
      <c r="D85" s="375">
        <f t="shared" si="15"/>
        <v>3.3</v>
      </c>
      <c r="E85" s="375">
        <f t="shared" si="15"/>
        <v>1.7200000000000004</v>
      </c>
      <c r="F85" s="375">
        <f t="shared" si="15"/>
        <v>11.04</v>
      </c>
      <c r="G85" s="375">
        <f t="shared" si="15"/>
        <v>0.46000000000000035</v>
      </c>
      <c r="H85" s="375">
        <f t="shared" si="15"/>
        <v>0</v>
      </c>
      <c r="I85" s="375">
        <f t="shared" si="15"/>
        <v>0</v>
      </c>
      <c r="J85" s="375">
        <f t="shared" si="15"/>
        <v>0</v>
      </c>
      <c r="K85" s="375">
        <f t="shared" si="15"/>
        <v>0</v>
      </c>
      <c r="L85" s="375">
        <f t="shared" si="15"/>
        <v>0</v>
      </c>
      <c r="M85" s="375">
        <f t="shared" si="15"/>
        <v>0</v>
      </c>
      <c r="N85" s="375">
        <f t="shared" si="15"/>
        <v>0</v>
      </c>
      <c r="O85" s="375">
        <f t="shared" si="15"/>
        <v>0</v>
      </c>
      <c r="P85" s="375">
        <f t="shared" si="15"/>
        <v>0</v>
      </c>
      <c r="Q85" s="375">
        <f t="shared" si="15"/>
        <v>0</v>
      </c>
      <c r="R85" s="375">
        <f t="shared" si="15"/>
        <v>0</v>
      </c>
      <c r="S85" s="375">
        <f t="shared" si="15"/>
        <v>0</v>
      </c>
      <c r="T85" s="375">
        <f t="shared" si="15"/>
        <v>0</v>
      </c>
      <c r="U85" s="375">
        <f t="shared" si="15"/>
        <v>0</v>
      </c>
      <c r="V85" s="375">
        <f t="shared" si="15"/>
        <v>0</v>
      </c>
      <c r="W85" s="375">
        <f t="shared" si="15"/>
        <v>0</v>
      </c>
      <c r="X85" s="375">
        <f t="shared" si="15"/>
        <v>0</v>
      </c>
      <c r="Y85" s="369"/>
    </row>
    <row r="86" spans="1:26" ht="13.5" thickBo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6" ht="13.5" thickBot="1" x14ac:dyDescent="0.25">
      <c r="A87" s="361" t="s">
        <v>334</v>
      </c>
      <c r="B87" s="359">
        <f>ROW(A87)</f>
        <v>87</v>
      </c>
      <c r="C87" s="363" t="s">
        <v>118</v>
      </c>
      <c r="D87" s="353">
        <f>SUM(B90:Y90)</f>
        <v>30.779999999999998</v>
      </c>
      <c r="E87" s="363" t="s">
        <v>117</v>
      </c>
      <c r="F87" s="354">
        <f>D87/g/J87</f>
        <v>80.451658433309774</v>
      </c>
      <c r="G87" s="363" t="s">
        <v>59</v>
      </c>
      <c r="H87" s="64">
        <f>H77*3</f>
        <v>7.2000000000000008E-2</v>
      </c>
      <c r="I87" s="363" t="s">
        <v>274</v>
      </c>
      <c r="J87" s="355">
        <f>H87-L87</f>
        <v>3.9000000000000007E-2</v>
      </c>
      <c r="K87" s="363" t="s">
        <v>275</v>
      </c>
      <c r="L87" s="64">
        <f>L77*3</f>
        <v>3.3000000000000002E-2</v>
      </c>
      <c r="M87" s="363" t="s">
        <v>60</v>
      </c>
      <c r="N87" s="65">
        <v>30</v>
      </c>
      <c r="O87" s="363" t="s">
        <v>62</v>
      </c>
      <c r="P87" s="65">
        <v>30</v>
      </c>
      <c r="Q87" s="363" t="s">
        <v>63</v>
      </c>
      <c r="R87" s="65">
        <v>70</v>
      </c>
      <c r="S87" s="363" t="s">
        <v>64</v>
      </c>
      <c r="T87" s="65">
        <v>40</v>
      </c>
      <c r="U87" s="363" t="s">
        <v>57</v>
      </c>
      <c r="V87" s="66" t="s">
        <v>120</v>
      </c>
      <c r="W87" s="463" t="s">
        <v>398</v>
      </c>
      <c r="X87" s="465">
        <v>1.7</v>
      </c>
      <c r="Y87" s="463" t="s">
        <v>397</v>
      </c>
      <c r="Z87" s="358">
        <v>3</v>
      </c>
    </row>
    <row r="88" spans="1:26" x14ac:dyDescent="0.2">
      <c r="A88" s="362" t="s">
        <v>33</v>
      </c>
      <c r="B88" s="370">
        <v>0</v>
      </c>
      <c r="C88" s="371">
        <v>0.2</v>
      </c>
      <c r="D88" s="371">
        <v>0.3</v>
      </c>
      <c r="E88" s="371">
        <v>0.6</v>
      </c>
      <c r="F88" s="371">
        <v>0.8</v>
      </c>
      <c r="G88" s="371">
        <v>2</v>
      </c>
      <c r="H88" s="371">
        <v>2.1</v>
      </c>
      <c r="I88" s="371">
        <v>2.1</v>
      </c>
      <c r="J88" s="371">
        <v>2.1</v>
      </c>
      <c r="K88" s="371">
        <v>2.1</v>
      </c>
      <c r="L88" s="371">
        <v>2.1</v>
      </c>
      <c r="M88" s="371">
        <v>2.1</v>
      </c>
      <c r="N88" s="371">
        <v>2.1</v>
      </c>
      <c r="O88" s="371">
        <v>2.1</v>
      </c>
      <c r="P88" s="371">
        <v>2.1</v>
      </c>
      <c r="Q88" s="371">
        <v>2.1</v>
      </c>
      <c r="R88" s="371">
        <v>2.1</v>
      </c>
      <c r="S88" s="371">
        <v>2.1</v>
      </c>
      <c r="T88" s="371">
        <v>2.1</v>
      </c>
      <c r="U88" s="371">
        <v>2.1</v>
      </c>
      <c r="V88" s="371">
        <v>2.1</v>
      </c>
      <c r="W88" s="371">
        <v>2.1</v>
      </c>
      <c r="X88" s="371">
        <v>2.1</v>
      </c>
      <c r="Y88" s="381">
        <v>1000</v>
      </c>
    </row>
    <row r="89" spans="1:26" x14ac:dyDescent="0.2">
      <c r="A89" s="378" t="s">
        <v>34</v>
      </c>
      <c r="B89" s="372">
        <f>B79*3</f>
        <v>0</v>
      </c>
      <c r="C89" s="373">
        <f t="shared" ref="C89:X89" si="16">C79*3</f>
        <v>33</v>
      </c>
      <c r="D89" s="373">
        <f t="shared" si="16"/>
        <v>21</v>
      </c>
      <c r="E89" s="373">
        <f t="shared" si="16"/>
        <v>12</v>
      </c>
      <c r="F89" s="373">
        <f t="shared" si="16"/>
        <v>13.799999999999999</v>
      </c>
      <c r="G89" s="373">
        <f t="shared" si="16"/>
        <v>13.799999999999999</v>
      </c>
      <c r="H89" s="373">
        <f t="shared" si="16"/>
        <v>0</v>
      </c>
      <c r="I89" s="373">
        <f t="shared" si="16"/>
        <v>0</v>
      </c>
      <c r="J89" s="373">
        <f t="shared" si="16"/>
        <v>0</v>
      </c>
      <c r="K89" s="373">
        <f t="shared" si="16"/>
        <v>0</v>
      </c>
      <c r="L89" s="373">
        <f t="shared" si="16"/>
        <v>0</v>
      </c>
      <c r="M89" s="373">
        <f t="shared" si="16"/>
        <v>0</v>
      </c>
      <c r="N89" s="373">
        <f t="shared" si="16"/>
        <v>0</v>
      </c>
      <c r="O89" s="373">
        <f t="shared" si="16"/>
        <v>0</v>
      </c>
      <c r="P89" s="373">
        <f t="shared" si="16"/>
        <v>0</v>
      </c>
      <c r="Q89" s="373">
        <f t="shared" si="16"/>
        <v>0</v>
      </c>
      <c r="R89" s="373">
        <f t="shared" si="16"/>
        <v>0</v>
      </c>
      <c r="S89" s="373">
        <f t="shared" si="16"/>
        <v>0</v>
      </c>
      <c r="T89" s="373">
        <f t="shared" si="16"/>
        <v>0</v>
      </c>
      <c r="U89" s="373">
        <f t="shared" si="16"/>
        <v>0</v>
      </c>
      <c r="V89" s="373">
        <f t="shared" si="16"/>
        <v>0</v>
      </c>
      <c r="W89" s="373">
        <f t="shared" si="16"/>
        <v>0</v>
      </c>
      <c r="X89" s="373">
        <f t="shared" si="16"/>
        <v>0</v>
      </c>
      <c r="Y89" s="382">
        <v>0</v>
      </c>
    </row>
    <row r="90" spans="1:26" ht="13.5" thickBot="1" x14ac:dyDescent="0.25">
      <c r="A90" s="379" t="s">
        <v>119</v>
      </c>
      <c r="B90" s="374">
        <f t="shared" ref="B90:X90" si="17">(C89+B89)*(C88-B88)/2</f>
        <v>3.3000000000000003</v>
      </c>
      <c r="C90" s="375">
        <f t="shared" si="17"/>
        <v>2.6999999999999993</v>
      </c>
      <c r="D90" s="375">
        <f t="shared" si="17"/>
        <v>4.95</v>
      </c>
      <c r="E90" s="375">
        <f t="shared" si="17"/>
        <v>2.5800000000000005</v>
      </c>
      <c r="F90" s="375">
        <f t="shared" si="17"/>
        <v>16.559999999999999</v>
      </c>
      <c r="G90" s="375">
        <f t="shared" si="17"/>
        <v>0.69000000000000061</v>
      </c>
      <c r="H90" s="375">
        <f t="shared" si="17"/>
        <v>0</v>
      </c>
      <c r="I90" s="375">
        <f t="shared" si="17"/>
        <v>0</v>
      </c>
      <c r="J90" s="375">
        <f t="shared" si="17"/>
        <v>0</v>
      </c>
      <c r="K90" s="375">
        <f t="shared" si="17"/>
        <v>0</v>
      </c>
      <c r="L90" s="375">
        <f t="shared" si="17"/>
        <v>0</v>
      </c>
      <c r="M90" s="375">
        <f t="shared" si="17"/>
        <v>0</v>
      </c>
      <c r="N90" s="375">
        <f t="shared" si="17"/>
        <v>0</v>
      </c>
      <c r="O90" s="375">
        <f t="shared" si="17"/>
        <v>0</v>
      </c>
      <c r="P90" s="375">
        <f t="shared" si="17"/>
        <v>0</v>
      </c>
      <c r="Q90" s="375">
        <f t="shared" si="17"/>
        <v>0</v>
      </c>
      <c r="R90" s="375">
        <f t="shared" si="17"/>
        <v>0</v>
      </c>
      <c r="S90" s="375">
        <f t="shared" si="17"/>
        <v>0</v>
      </c>
      <c r="T90" s="375">
        <f t="shared" si="17"/>
        <v>0</v>
      </c>
      <c r="U90" s="375">
        <f t="shared" si="17"/>
        <v>0</v>
      </c>
      <c r="V90" s="375">
        <f t="shared" si="17"/>
        <v>0</v>
      </c>
      <c r="W90" s="375">
        <f t="shared" si="17"/>
        <v>0</v>
      </c>
      <c r="X90" s="375">
        <f t="shared" si="17"/>
        <v>0</v>
      </c>
      <c r="Y90" s="369"/>
    </row>
    <row r="91" spans="1:26" ht="13.5" thickBo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6" ht="13.5" thickBot="1" x14ac:dyDescent="0.25">
      <c r="A92" s="361" t="s">
        <v>545</v>
      </c>
      <c r="B92" s="359">
        <f>ROW(A92)</f>
        <v>92</v>
      </c>
      <c r="C92" s="363" t="s">
        <v>118</v>
      </c>
      <c r="D92" s="353">
        <f>SUM(B95:Y95)</f>
        <v>19.961989000000003</v>
      </c>
      <c r="E92" s="363" t="s">
        <v>117</v>
      </c>
      <c r="F92" s="354">
        <f>D92/g/J92</f>
        <v>118.30588744280873</v>
      </c>
      <c r="G92" s="363" t="s">
        <v>59</v>
      </c>
      <c r="H92" s="64">
        <v>2.8199999999999999E-2</v>
      </c>
      <c r="I92" s="363" t="s">
        <v>274</v>
      </c>
      <c r="J92" s="355">
        <f>H92-L92</f>
        <v>1.72E-2</v>
      </c>
      <c r="K92" s="363" t="s">
        <v>275</v>
      </c>
      <c r="L92" s="64">
        <v>1.0999999999999999E-2</v>
      </c>
      <c r="M92" s="363" t="s">
        <v>60</v>
      </c>
      <c r="N92" s="65">
        <v>30</v>
      </c>
      <c r="O92" s="363" t="s">
        <v>62</v>
      </c>
      <c r="P92" s="65">
        <v>30</v>
      </c>
      <c r="Q92" s="363" t="s">
        <v>63</v>
      </c>
      <c r="R92" s="65">
        <v>70</v>
      </c>
      <c r="S92" s="363" t="s">
        <v>64</v>
      </c>
      <c r="T92" s="65">
        <v>18</v>
      </c>
      <c r="U92" s="363" t="s">
        <v>57</v>
      </c>
      <c r="V92" s="66" t="s">
        <v>405</v>
      </c>
      <c r="W92" s="463" t="s">
        <v>398</v>
      </c>
      <c r="X92" s="465">
        <v>2.1</v>
      </c>
      <c r="Y92" s="463" t="s">
        <v>397</v>
      </c>
      <c r="Z92" s="358">
        <v>7</v>
      </c>
    </row>
    <row r="93" spans="1:26" x14ac:dyDescent="0.2">
      <c r="A93" s="362" t="s">
        <v>33</v>
      </c>
      <c r="B93" s="370">
        <v>0</v>
      </c>
      <c r="C93" s="472">
        <v>0.04</v>
      </c>
      <c r="D93" s="472">
        <v>0.11600000000000001</v>
      </c>
      <c r="E93" s="472">
        <v>0.21299999999999999</v>
      </c>
      <c r="F93" s="472">
        <v>0.28599999999999998</v>
      </c>
      <c r="G93" s="472">
        <v>0.32900000000000001</v>
      </c>
      <c r="H93" s="472">
        <v>0.36899999999999999</v>
      </c>
      <c r="I93" s="472">
        <v>0.42</v>
      </c>
      <c r="J93" s="472">
        <v>0.495</v>
      </c>
      <c r="K93" s="472">
        <v>0.59699999999999998</v>
      </c>
      <c r="L93" s="472">
        <v>1.7110000000000001</v>
      </c>
      <c r="M93" s="472">
        <v>1.8260000000000001</v>
      </c>
      <c r="N93" s="472">
        <v>1.917</v>
      </c>
      <c r="O93" s="472">
        <v>1.9750000000000001</v>
      </c>
      <c r="P93" s="472">
        <v>2.206</v>
      </c>
      <c r="Q93" s="472">
        <v>2.242</v>
      </c>
      <c r="R93" s="371">
        <v>2.5</v>
      </c>
      <c r="S93" s="371">
        <v>2.5</v>
      </c>
      <c r="T93" s="371">
        <v>2.5</v>
      </c>
      <c r="U93" s="371">
        <v>2.5</v>
      </c>
      <c r="V93" s="371">
        <v>2.5</v>
      </c>
      <c r="W93" s="371">
        <v>2.5</v>
      </c>
      <c r="X93" s="371">
        <v>2.5</v>
      </c>
      <c r="Y93" s="381">
        <v>1000</v>
      </c>
    </row>
    <row r="94" spans="1:26" x14ac:dyDescent="0.2">
      <c r="A94" s="378" t="s">
        <v>34</v>
      </c>
      <c r="B94" s="372">
        <v>0</v>
      </c>
      <c r="C94" s="472">
        <v>2.1110000000000002</v>
      </c>
      <c r="D94" s="472">
        <v>9.6850000000000005</v>
      </c>
      <c r="E94" s="472">
        <v>25</v>
      </c>
      <c r="F94" s="472">
        <v>15.738</v>
      </c>
      <c r="G94" s="472">
        <v>12.472</v>
      </c>
      <c r="H94" s="472">
        <v>10.67</v>
      </c>
      <c r="I94" s="472">
        <v>9.7129999999999992</v>
      </c>
      <c r="J94" s="472">
        <v>9.1780000000000008</v>
      </c>
      <c r="K94" s="472">
        <v>8.8960000000000008</v>
      </c>
      <c r="L94" s="472">
        <v>8.9250000000000007</v>
      </c>
      <c r="M94" s="472">
        <v>8.6989999999999998</v>
      </c>
      <c r="N94" s="472">
        <v>8.0519999999999996</v>
      </c>
      <c r="O94" s="472">
        <v>6.9539999999999997</v>
      </c>
      <c r="P94" s="472">
        <v>1.07</v>
      </c>
      <c r="Q94" s="472">
        <v>0</v>
      </c>
      <c r="R94" s="373">
        <v>0</v>
      </c>
      <c r="S94" s="373">
        <v>0</v>
      </c>
      <c r="T94" s="373">
        <v>0</v>
      </c>
      <c r="U94" s="373">
        <v>0</v>
      </c>
      <c r="V94" s="373">
        <v>0</v>
      </c>
      <c r="W94" s="373">
        <v>0</v>
      </c>
      <c r="X94" s="373">
        <v>0</v>
      </c>
      <c r="Y94" s="382">
        <v>0</v>
      </c>
    </row>
    <row r="95" spans="1:26" ht="13.5" thickBot="1" x14ac:dyDescent="0.25">
      <c r="A95" s="379" t="s">
        <v>119</v>
      </c>
      <c r="B95" s="374">
        <f t="shared" ref="B95:X95" si="18">(C94+B94)*(C93-B93)/2</f>
        <v>4.2220000000000008E-2</v>
      </c>
      <c r="C95" s="375">
        <f t="shared" si="18"/>
        <v>0.44824800000000009</v>
      </c>
      <c r="D95" s="375">
        <f t="shared" si="18"/>
        <v>1.6822225</v>
      </c>
      <c r="E95" s="375">
        <f t="shared" si="18"/>
        <v>1.4869369999999995</v>
      </c>
      <c r="F95" s="375">
        <f t="shared" si="18"/>
        <v>0.60651500000000058</v>
      </c>
      <c r="G95" s="375">
        <f t="shared" si="18"/>
        <v>0.46283999999999975</v>
      </c>
      <c r="H95" s="375">
        <f t="shared" si="18"/>
        <v>0.51976649999999991</v>
      </c>
      <c r="I95" s="375">
        <f t="shared" si="18"/>
        <v>0.7084125</v>
      </c>
      <c r="J95" s="375">
        <f t="shared" si="18"/>
        <v>0.92177399999999987</v>
      </c>
      <c r="K95" s="375">
        <f t="shared" si="18"/>
        <v>9.9262970000000017</v>
      </c>
      <c r="L95" s="375">
        <f t="shared" si="18"/>
        <v>1.0133799999999999</v>
      </c>
      <c r="M95" s="375">
        <f t="shared" si="18"/>
        <v>0.76217049999999964</v>
      </c>
      <c r="N95" s="375">
        <f t="shared" si="18"/>
        <v>0.43517400000000039</v>
      </c>
      <c r="O95" s="375">
        <f t="shared" si="18"/>
        <v>0.92677199999999937</v>
      </c>
      <c r="P95" s="375">
        <f t="shared" si="18"/>
        <v>1.9260000000000017E-2</v>
      </c>
      <c r="Q95" s="375">
        <f t="shared" si="18"/>
        <v>0</v>
      </c>
      <c r="R95" s="375">
        <f t="shared" si="18"/>
        <v>0</v>
      </c>
      <c r="S95" s="375">
        <f t="shared" si="18"/>
        <v>0</v>
      </c>
      <c r="T95" s="375">
        <f t="shared" si="18"/>
        <v>0</v>
      </c>
      <c r="U95" s="375">
        <f t="shared" si="18"/>
        <v>0</v>
      </c>
      <c r="V95" s="375">
        <f t="shared" si="18"/>
        <v>0</v>
      </c>
      <c r="W95" s="375">
        <f t="shared" si="18"/>
        <v>0</v>
      </c>
      <c r="X95" s="375">
        <f t="shared" si="18"/>
        <v>0</v>
      </c>
      <c r="Y95" s="369"/>
    </row>
    <row r="96" spans="1:26" ht="13.5" thickBot="1" x14ac:dyDescent="0.25">
      <c r="A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6" ht="13.5" thickBot="1" x14ac:dyDescent="0.25">
      <c r="A97" s="361" t="s">
        <v>543</v>
      </c>
      <c r="B97" s="359">
        <f>ROW(A97)</f>
        <v>97</v>
      </c>
      <c r="C97" s="363" t="s">
        <v>118</v>
      </c>
      <c r="D97" s="353">
        <f>SUM(B100:Y100)</f>
        <v>39.923978000000005</v>
      </c>
      <c r="E97" s="363" t="s">
        <v>117</v>
      </c>
      <c r="F97" s="354">
        <f>D97/g/J97</f>
        <v>118.30588744280873</v>
      </c>
      <c r="G97" s="363" t="s">
        <v>59</v>
      </c>
      <c r="H97" s="64">
        <f>H92*2</f>
        <v>5.6399999999999999E-2</v>
      </c>
      <c r="I97" s="363" t="s">
        <v>274</v>
      </c>
      <c r="J97" s="355">
        <f>H97-L97</f>
        <v>3.44E-2</v>
      </c>
      <c r="K97" s="363" t="s">
        <v>275</v>
      </c>
      <c r="L97" s="64">
        <f>L92*2</f>
        <v>2.1999999999999999E-2</v>
      </c>
      <c r="M97" s="363" t="s">
        <v>60</v>
      </c>
      <c r="N97" s="65">
        <v>30</v>
      </c>
      <c r="O97" s="363" t="s">
        <v>62</v>
      </c>
      <c r="P97" s="65">
        <v>30</v>
      </c>
      <c r="Q97" s="363" t="s">
        <v>63</v>
      </c>
      <c r="R97" s="65">
        <v>70</v>
      </c>
      <c r="S97" s="363" t="s">
        <v>64</v>
      </c>
      <c r="T97" s="65">
        <v>30</v>
      </c>
      <c r="U97" s="363" t="s">
        <v>57</v>
      </c>
      <c r="V97" s="66" t="s">
        <v>405</v>
      </c>
      <c r="W97" s="463" t="s">
        <v>398</v>
      </c>
      <c r="X97" s="465">
        <v>2.1</v>
      </c>
      <c r="Y97" s="463" t="s">
        <v>397</v>
      </c>
      <c r="Z97" s="358">
        <v>7</v>
      </c>
    </row>
    <row r="98" spans="1:26" x14ac:dyDescent="0.2">
      <c r="A98" s="362" t="s">
        <v>33</v>
      </c>
      <c r="B98" s="370">
        <v>0</v>
      </c>
      <c r="C98" s="371">
        <f>C93</f>
        <v>0.04</v>
      </c>
      <c r="D98" s="371">
        <f t="shared" ref="D98:X98" si="19">D93</f>
        <v>0.11600000000000001</v>
      </c>
      <c r="E98" s="371">
        <f t="shared" si="19"/>
        <v>0.21299999999999999</v>
      </c>
      <c r="F98" s="371">
        <f t="shared" si="19"/>
        <v>0.28599999999999998</v>
      </c>
      <c r="G98" s="371">
        <f t="shared" si="19"/>
        <v>0.32900000000000001</v>
      </c>
      <c r="H98" s="371">
        <f t="shared" si="19"/>
        <v>0.36899999999999999</v>
      </c>
      <c r="I98" s="371">
        <f t="shared" si="19"/>
        <v>0.42</v>
      </c>
      <c r="J98" s="371">
        <f t="shared" si="19"/>
        <v>0.495</v>
      </c>
      <c r="K98" s="371">
        <f t="shared" si="19"/>
        <v>0.59699999999999998</v>
      </c>
      <c r="L98" s="371">
        <f t="shared" si="19"/>
        <v>1.7110000000000001</v>
      </c>
      <c r="M98" s="371">
        <f t="shared" si="19"/>
        <v>1.8260000000000001</v>
      </c>
      <c r="N98" s="371">
        <f t="shared" si="19"/>
        <v>1.917</v>
      </c>
      <c r="O98" s="371">
        <f t="shared" si="19"/>
        <v>1.9750000000000001</v>
      </c>
      <c r="P98" s="371">
        <f t="shared" si="19"/>
        <v>2.206</v>
      </c>
      <c r="Q98" s="371">
        <f t="shared" si="19"/>
        <v>2.242</v>
      </c>
      <c r="R98" s="371">
        <f t="shared" si="19"/>
        <v>2.5</v>
      </c>
      <c r="S98" s="371">
        <f>S93</f>
        <v>2.5</v>
      </c>
      <c r="T98" s="371">
        <f t="shared" si="19"/>
        <v>2.5</v>
      </c>
      <c r="U98" s="371">
        <f t="shared" si="19"/>
        <v>2.5</v>
      </c>
      <c r="V98" s="371">
        <f t="shared" si="19"/>
        <v>2.5</v>
      </c>
      <c r="W98" s="371">
        <f t="shared" si="19"/>
        <v>2.5</v>
      </c>
      <c r="X98" s="371">
        <f t="shared" si="19"/>
        <v>2.5</v>
      </c>
      <c r="Y98" s="381">
        <v>1000</v>
      </c>
    </row>
    <row r="99" spans="1:26" x14ac:dyDescent="0.2">
      <c r="A99" s="378" t="s">
        <v>34</v>
      </c>
      <c r="B99" s="372">
        <f>B94*2</f>
        <v>0</v>
      </c>
      <c r="C99" s="373">
        <f t="shared" ref="C99:X99" si="20">C94*2</f>
        <v>4.2220000000000004</v>
      </c>
      <c r="D99" s="373">
        <f t="shared" si="20"/>
        <v>19.37</v>
      </c>
      <c r="E99" s="373">
        <f t="shared" si="20"/>
        <v>50</v>
      </c>
      <c r="F99" s="373">
        <f t="shared" si="20"/>
        <v>31.475999999999999</v>
      </c>
      <c r="G99" s="373">
        <f t="shared" si="20"/>
        <v>24.943999999999999</v>
      </c>
      <c r="H99" s="373">
        <f t="shared" si="20"/>
        <v>21.34</v>
      </c>
      <c r="I99" s="373">
        <f t="shared" si="20"/>
        <v>19.425999999999998</v>
      </c>
      <c r="J99" s="373">
        <f t="shared" si="20"/>
        <v>18.356000000000002</v>
      </c>
      <c r="K99" s="373">
        <f t="shared" si="20"/>
        <v>17.792000000000002</v>
      </c>
      <c r="L99" s="373">
        <f t="shared" si="20"/>
        <v>17.850000000000001</v>
      </c>
      <c r="M99" s="373">
        <f t="shared" si="20"/>
        <v>17.398</v>
      </c>
      <c r="N99" s="373">
        <f t="shared" si="20"/>
        <v>16.103999999999999</v>
      </c>
      <c r="O99" s="373">
        <f t="shared" si="20"/>
        <v>13.907999999999999</v>
      </c>
      <c r="P99" s="373">
        <f t="shared" si="20"/>
        <v>2.14</v>
      </c>
      <c r="Q99" s="373">
        <f t="shared" si="20"/>
        <v>0</v>
      </c>
      <c r="R99" s="373">
        <f t="shared" si="20"/>
        <v>0</v>
      </c>
      <c r="S99" s="373">
        <f t="shared" si="20"/>
        <v>0</v>
      </c>
      <c r="T99" s="373">
        <f t="shared" si="20"/>
        <v>0</v>
      </c>
      <c r="U99" s="373">
        <f t="shared" si="20"/>
        <v>0</v>
      </c>
      <c r="V99" s="373">
        <f t="shared" si="20"/>
        <v>0</v>
      </c>
      <c r="W99" s="373">
        <f t="shared" si="20"/>
        <v>0</v>
      </c>
      <c r="X99" s="373">
        <f t="shared" si="20"/>
        <v>0</v>
      </c>
      <c r="Y99" s="382">
        <v>0</v>
      </c>
    </row>
    <row r="100" spans="1:26" ht="13.5" thickBot="1" x14ac:dyDescent="0.25">
      <c r="A100" s="379" t="s">
        <v>119</v>
      </c>
      <c r="B100" s="374">
        <f t="shared" ref="B100:X100" si="21">(C99+B99)*(C98-B98)/2</f>
        <v>8.4440000000000015E-2</v>
      </c>
      <c r="C100" s="375">
        <f t="shared" si="21"/>
        <v>0.89649600000000018</v>
      </c>
      <c r="D100" s="375">
        <f t="shared" si="21"/>
        <v>3.3644449999999999</v>
      </c>
      <c r="E100" s="375">
        <f t="shared" si="21"/>
        <v>2.973873999999999</v>
      </c>
      <c r="F100" s="375">
        <f t="shared" si="21"/>
        <v>1.2130300000000012</v>
      </c>
      <c r="G100" s="375">
        <f t="shared" si="21"/>
        <v>0.9256799999999995</v>
      </c>
      <c r="H100" s="375">
        <f t="shared" si="21"/>
        <v>1.0395329999999998</v>
      </c>
      <c r="I100" s="375">
        <f t="shared" si="21"/>
        <v>1.416825</v>
      </c>
      <c r="J100" s="375">
        <f t="shared" si="21"/>
        <v>1.8435479999999997</v>
      </c>
      <c r="K100" s="375">
        <f t="shared" si="21"/>
        <v>19.852594000000003</v>
      </c>
      <c r="L100" s="375">
        <f t="shared" si="21"/>
        <v>2.0267599999999999</v>
      </c>
      <c r="M100" s="375">
        <f t="shared" si="21"/>
        <v>1.5243409999999993</v>
      </c>
      <c r="N100" s="375">
        <f t="shared" si="21"/>
        <v>0.87034800000000079</v>
      </c>
      <c r="O100" s="375">
        <f t="shared" si="21"/>
        <v>1.8535439999999987</v>
      </c>
      <c r="P100" s="375">
        <f t="shared" si="21"/>
        <v>3.8520000000000033E-2</v>
      </c>
      <c r="Q100" s="375">
        <f t="shared" si="21"/>
        <v>0</v>
      </c>
      <c r="R100" s="375">
        <f t="shared" si="21"/>
        <v>0</v>
      </c>
      <c r="S100" s="375">
        <f t="shared" si="21"/>
        <v>0</v>
      </c>
      <c r="T100" s="375">
        <f t="shared" si="21"/>
        <v>0</v>
      </c>
      <c r="U100" s="375">
        <f t="shared" si="21"/>
        <v>0</v>
      </c>
      <c r="V100" s="375">
        <f t="shared" si="21"/>
        <v>0</v>
      </c>
      <c r="W100" s="375">
        <f t="shared" si="21"/>
        <v>0</v>
      </c>
      <c r="X100" s="375">
        <f t="shared" si="21"/>
        <v>0</v>
      </c>
      <c r="Y100" s="369"/>
    </row>
    <row r="101" spans="1:26" ht="13.5" thickBo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6" ht="13.5" thickBot="1" x14ac:dyDescent="0.25">
      <c r="A102" s="361" t="s">
        <v>544</v>
      </c>
      <c r="B102" s="359">
        <f>ROW(A102)</f>
        <v>102</v>
      </c>
      <c r="C102" s="363" t="s">
        <v>118</v>
      </c>
      <c r="D102" s="353">
        <f>SUM(B105:Y105)</f>
        <v>59.885967000000008</v>
      </c>
      <c r="E102" s="363" t="s">
        <v>117</v>
      </c>
      <c r="F102" s="354">
        <f>D102/g/J102</f>
        <v>118.30588744280874</v>
      </c>
      <c r="G102" s="363" t="s">
        <v>59</v>
      </c>
      <c r="H102" s="64">
        <f>H92*3</f>
        <v>8.4599999999999995E-2</v>
      </c>
      <c r="I102" s="363" t="s">
        <v>274</v>
      </c>
      <c r="J102" s="355">
        <f>H102-L102</f>
        <v>5.1599999999999993E-2</v>
      </c>
      <c r="K102" s="363" t="s">
        <v>275</v>
      </c>
      <c r="L102" s="64">
        <f>L92*3</f>
        <v>3.3000000000000002E-2</v>
      </c>
      <c r="M102" s="363" t="s">
        <v>60</v>
      </c>
      <c r="N102" s="65">
        <v>30</v>
      </c>
      <c r="O102" s="363" t="s">
        <v>62</v>
      </c>
      <c r="P102" s="65">
        <v>30</v>
      </c>
      <c r="Q102" s="363" t="s">
        <v>63</v>
      </c>
      <c r="R102" s="65">
        <v>70</v>
      </c>
      <c r="S102" s="363" t="s">
        <v>64</v>
      </c>
      <c r="T102" s="65">
        <v>40</v>
      </c>
      <c r="U102" s="363" t="s">
        <v>57</v>
      </c>
      <c r="V102" s="66" t="s">
        <v>405</v>
      </c>
      <c r="W102" s="463" t="s">
        <v>398</v>
      </c>
      <c r="X102" s="465">
        <v>2.1</v>
      </c>
      <c r="Y102" s="463" t="s">
        <v>397</v>
      </c>
      <c r="Z102" s="358">
        <v>7</v>
      </c>
    </row>
    <row r="103" spans="1:26" x14ac:dyDescent="0.2">
      <c r="A103" s="362" t="s">
        <v>33</v>
      </c>
      <c r="B103" s="370">
        <v>0</v>
      </c>
      <c r="C103" s="371">
        <f>C93</f>
        <v>0.04</v>
      </c>
      <c r="D103" s="371">
        <f t="shared" ref="D103:X103" si="22">D93</f>
        <v>0.11600000000000001</v>
      </c>
      <c r="E103" s="371">
        <f t="shared" si="22"/>
        <v>0.21299999999999999</v>
      </c>
      <c r="F103" s="371">
        <f t="shared" si="22"/>
        <v>0.28599999999999998</v>
      </c>
      <c r="G103" s="371">
        <f t="shared" si="22"/>
        <v>0.32900000000000001</v>
      </c>
      <c r="H103" s="371">
        <f t="shared" si="22"/>
        <v>0.36899999999999999</v>
      </c>
      <c r="I103" s="371">
        <f t="shared" si="22"/>
        <v>0.42</v>
      </c>
      <c r="J103" s="371">
        <f t="shared" si="22"/>
        <v>0.495</v>
      </c>
      <c r="K103" s="371">
        <f t="shared" si="22"/>
        <v>0.59699999999999998</v>
      </c>
      <c r="L103" s="371">
        <f t="shared" si="22"/>
        <v>1.7110000000000001</v>
      </c>
      <c r="M103" s="371">
        <f t="shared" si="22"/>
        <v>1.8260000000000001</v>
      </c>
      <c r="N103" s="371">
        <f t="shared" si="22"/>
        <v>1.917</v>
      </c>
      <c r="O103" s="371">
        <f t="shared" si="22"/>
        <v>1.9750000000000001</v>
      </c>
      <c r="P103" s="371">
        <f t="shared" si="22"/>
        <v>2.206</v>
      </c>
      <c r="Q103" s="371">
        <f t="shared" si="22"/>
        <v>2.242</v>
      </c>
      <c r="R103" s="371">
        <f t="shared" si="22"/>
        <v>2.5</v>
      </c>
      <c r="S103" s="371">
        <f t="shared" si="22"/>
        <v>2.5</v>
      </c>
      <c r="T103" s="371">
        <f t="shared" si="22"/>
        <v>2.5</v>
      </c>
      <c r="U103" s="371">
        <f t="shared" si="22"/>
        <v>2.5</v>
      </c>
      <c r="V103" s="371">
        <f t="shared" si="22"/>
        <v>2.5</v>
      </c>
      <c r="W103" s="371">
        <f t="shared" si="22"/>
        <v>2.5</v>
      </c>
      <c r="X103" s="371">
        <f t="shared" si="22"/>
        <v>2.5</v>
      </c>
      <c r="Y103" s="381">
        <v>1000</v>
      </c>
    </row>
    <row r="104" spans="1:26" x14ac:dyDescent="0.2">
      <c r="A104" s="378" t="s">
        <v>34</v>
      </c>
      <c r="B104" s="372">
        <f>B94*3</f>
        <v>0</v>
      </c>
      <c r="C104" s="373">
        <f t="shared" ref="C104:X104" si="23">C94*3</f>
        <v>6.3330000000000002</v>
      </c>
      <c r="D104" s="373">
        <f t="shared" si="23"/>
        <v>29.055</v>
      </c>
      <c r="E104" s="373">
        <f t="shared" si="23"/>
        <v>75</v>
      </c>
      <c r="F104" s="373">
        <f t="shared" si="23"/>
        <v>47.213999999999999</v>
      </c>
      <c r="G104" s="373">
        <f t="shared" si="23"/>
        <v>37.415999999999997</v>
      </c>
      <c r="H104" s="373">
        <f t="shared" si="23"/>
        <v>32.01</v>
      </c>
      <c r="I104" s="373">
        <f t="shared" si="23"/>
        <v>29.138999999999996</v>
      </c>
      <c r="J104" s="373">
        <f t="shared" si="23"/>
        <v>27.534000000000002</v>
      </c>
      <c r="K104" s="373">
        <f t="shared" si="23"/>
        <v>26.688000000000002</v>
      </c>
      <c r="L104" s="373">
        <f t="shared" si="23"/>
        <v>26.775000000000002</v>
      </c>
      <c r="M104" s="373">
        <f t="shared" si="23"/>
        <v>26.097000000000001</v>
      </c>
      <c r="N104" s="373">
        <f t="shared" si="23"/>
        <v>24.155999999999999</v>
      </c>
      <c r="O104" s="373">
        <f t="shared" si="23"/>
        <v>20.861999999999998</v>
      </c>
      <c r="P104" s="373">
        <f t="shared" si="23"/>
        <v>3.21</v>
      </c>
      <c r="Q104" s="373">
        <f t="shared" si="23"/>
        <v>0</v>
      </c>
      <c r="R104" s="373">
        <f t="shared" si="23"/>
        <v>0</v>
      </c>
      <c r="S104" s="373">
        <f t="shared" si="23"/>
        <v>0</v>
      </c>
      <c r="T104" s="373">
        <f t="shared" si="23"/>
        <v>0</v>
      </c>
      <c r="U104" s="373">
        <f t="shared" si="23"/>
        <v>0</v>
      </c>
      <c r="V104" s="373">
        <f t="shared" si="23"/>
        <v>0</v>
      </c>
      <c r="W104" s="373">
        <f t="shared" si="23"/>
        <v>0</v>
      </c>
      <c r="X104" s="373">
        <f t="shared" si="23"/>
        <v>0</v>
      </c>
      <c r="Y104" s="382">
        <v>0</v>
      </c>
    </row>
    <row r="105" spans="1:26" ht="13.5" thickBot="1" x14ac:dyDescent="0.25">
      <c r="A105" s="379" t="s">
        <v>119</v>
      </c>
      <c r="B105" s="374">
        <f t="shared" ref="B105:X105" si="24">(C104+B104)*(C103-B103)/2</f>
        <v>0.12665999999999999</v>
      </c>
      <c r="C105" s="375">
        <f t="shared" si="24"/>
        <v>1.3447440000000002</v>
      </c>
      <c r="D105" s="375">
        <f t="shared" si="24"/>
        <v>5.0466674999999999</v>
      </c>
      <c r="E105" s="375">
        <f t="shared" si="24"/>
        <v>4.4608109999999987</v>
      </c>
      <c r="F105" s="375">
        <f t="shared" si="24"/>
        <v>1.8195450000000015</v>
      </c>
      <c r="G105" s="375">
        <f t="shared" si="24"/>
        <v>1.3885199999999991</v>
      </c>
      <c r="H105" s="375">
        <f t="shared" si="24"/>
        <v>1.5592994999999996</v>
      </c>
      <c r="I105" s="375">
        <f t="shared" si="24"/>
        <v>2.1252375000000003</v>
      </c>
      <c r="J105" s="375">
        <f t="shared" si="24"/>
        <v>2.7653219999999998</v>
      </c>
      <c r="K105" s="375">
        <f t="shared" si="24"/>
        <v>29.778891000000009</v>
      </c>
      <c r="L105" s="375">
        <f t="shared" si="24"/>
        <v>3.0401399999999996</v>
      </c>
      <c r="M105" s="375">
        <f t="shared" si="24"/>
        <v>2.2865114999999991</v>
      </c>
      <c r="N105" s="375">
        <f t="shared" si="24"/>
        <v>1.3055220000000012</v>
      </c>
      <c r="O105" s="375">
        <f t="shared" si="24"/>
        <v>2.7803159999999982</v>
      </c>
      <c r="P105" s="375">
        <f t="shared" si="24"/>
        <v>5.7780000000000054E-2</v>
      </c>
      <c r="Q105" s="375">
        <f t="shared" si="24"/>
        <v>0</v>
      </c>
      <c r="R105" s="375">
        <f t="shared" si="24"/>
        <v>0</v>
      </c>
      <c r="S105" s="375">
        <f t="shared" si="24"/>
        <v>0</v>
      </c>
      <c r="T105" s="375">
        <f t="shared" si="24"/>
        <v>0</v>
      </c>
      <c r="U105" s="375">
        <f t="shared" si="24"/>
        <v>0</v>
      </c>
      <c r="V105" s="375">
        <f t="shared" si="24"/>
        <v>0</v>
      </c>
      <c r="W105" s="375">
        <f t="shared" si="24"/>
        <v>0</v>
      </c>
      <c r="X105" s="375">
        <f t="shared" si="24"/>
        <v>0</v>
      </c>
      <c r="Y105" s="369"/>
    </row>
    <row r="107" spans="1:26" ht="13.5" thickBot="1" x14ac:dyDescent="0.25">
      <c r="A107" s="6" t="s">
        <v>320</v>
      </c>
    </row>
    <row r="108" spans="1:26" ht="13.5" thickBot="1" x14ac:dyDescent="0.25">
      <c r="A108" s="361" t="s">
        <v>323</v>
      </c>
      <c r="B108" s="359">
        <f>ROW(A108)</f>
        <v>108</v>
      </c>
      <c r="C108" s="363" t="s">
        <v>118</v>
      </c>
      <c r="D108" s="353">
        <f>SUM(B111:Y111)</f>
        <v>24.269519000000003</v>
      </c>
      <c r="E108" s="363" t="s">
        <v>117</v>
      </c>
      <c r="F108" s="354">
        <f>D108/g/J108</f>
        <v>154.62231778797147</v>
      </c>
      <c r="G108" s="363" t="s">
        <v>59</v>
      </c>
      <c r="H108" s="64">
        <v>5.1999999999999998E-2</v>
      </c>
      <c r="I108" s="363" t="s">
        <v>274</v>
      </c>
      <c r="J108" s="355">
        <f>H108-L108</f>
        <v>1.6E-2</v>
      </c>
      <c r="K108" s="363" t="s">
        <v>275</v>
      </c>
      <c r="L108" s="64">
        <v>3.5999999999999997E-2</v>
      </c>
      <c r="M108" s="363" t="s">
        <v>60</v>
      </c>
      <c r="N108" s="396">
        <v>35</v>
      </c>
      <c r="O108" s="363" t="s">
        <v>62</v>
      </c>
      <c r="P108" s="396">
        <v>35</v>
      </c>
      <c r="Q108" s="363" t="s">
        <v>63</v>
      </c>
      <c r="R108" s="65">
        <v>69</v>
      </c>
      <c r="S108" s="363" t="s">
        <v>64</v>
      </c>
      <c r="T108" s="65">
        <v>24</v>
      </c>
      <c r="U108" s="363" t="s">
        <v>57</v>
      </c>
      <c r="V108" s="66" t="s">
        <v>403</v>
      </c>
      <c r="W108" s="463" t="s">
        <v>398</v>
      </c>
      <c r="X108" s="465">
        <v>1</v>
      </c>
      <c r="Y108" s="463" t="s">
        <v>397</v>
      </c>
      <c r="Z108" s="358">
        <v>13</v>
      </c>
    </row>
    <row r="109" spans="1:26" x14ac:dyDescent="0.2">
      <c r="A109" s="362" t="s">
        <v>33</v>
      </c>
      <c r="B109" s="370">
        <v>0</v>
      </c>
      <c r="C109" s="371">
        <v>8.0000000000000002E-3</v>
      </c>
      <c r="D109" s="371">
        <v>2.5999999999999999E-2</v>
      </c>
      <c r="E109" s="371">
        <v>3.7999999999999999E-2</v>
      </c>
      <c r="F109" s="371">
        <v>6.7000000000000004E-2</v>
      </c>
      <c r="G109" s="371">
        <v>0.10100000000000001</v>
      </c>
      <c r="H109" s="371">
        <v>0.33</v>
      </c>
      <c r="I109" s="371">
        <v>0.52800000000000002</v>
      </c>
      <c r="J109" s="371">
        <v>0.71599999999999997</v>
      </c>
      <c r="K109" s="371">
        <v>0.84099999999999997</v>
      </c>
      <c r="L109" s="371">
        <v>0.91200000000000003</v>
      </c>
      <c r="M109" s="371">
        <v>0.98699999999999999</v>
      </c>
      <c r="N109" s="371">
        <v>1.016</v>
      </c>
      <c r="O109" s="371">
        <v>1.0649999999999999</v>
      </c>
      <c r="P109" s="371">
        <v>1.087</v>
      </c>
      <c r="Q109" s="371">
        <v>2</v>
      </c>
      <c r="R109" s="371">
        <v>2</v>
      </c>
      <c r="S109" s="371">
        <v>2</v>
      </c>
      <c r="T109" s="371">
        <v>2</v>
      </c>
      <c r="U109" s="371">
        <v>2</v>
      </c>
      <c r="V109" s="371">
        <v>2</v>
      </c>
      <c r="W109" s="371">
        <v>2</v>
      </c>
      <c r="X109" s="371">
        <v>2</v>
      </c>
      <c r="Y109" s="381">
        <v>1000</v>
      </c>
    </row>
    <row r="110" spans="1:26" x14ac:dyDescent="0.2">
      <c r="A110" s="378" t="s">
        <v>34</v>
      </c>
      <c r="B110" s="372">
        <v>0</v>
      </c>
      <c r="C110" s="373">
        <v>18.292000000000002</v>
      </c>
      <c r="D110" s="373">
        <v>30</v>
      </c>
      <c r="E110" s="373">
        <v>30.792000000000002</v>
      </c>
      <c r="F110" s="373">
        <v>18.707999999999998</v>
      </c>
      <c r="G110" s="373">
        <v>21.875</v>
      </c>
      <c r="H110" s="373">
        <v>26.082999999999998</v>
      </c>
      <c r="I110" s="373">
        <v>28.042000000000002</v>
      </c>
      <c r="J110" s="373">
        <v>27.875</v>
      </c>
      <c r="K110" s="373">
        <v>23.542000000000002</v>
      </c>
      <c r="L110" s="373">
        <v>17.832999999999998</v>
      </c>
      <c r="M110" s="373">
        <v>7</v>
      </c>
      <c r="N110" s="373">
        <v>3.3330000000000002</v>
      </c>
      <c r="O110" s="373">
        <v>1.083</v>
      </c>
      <c r="P110" s="373">
        <v>0</v>
      </c>
      <c r="Q110" s="373">
        <v>0</v>
      </c>
      <c r="R110" s="373">
        <v>0</v>
      </c>
      <c r="S110" s="373">
        <v>0</v>
      </c>
      <c r="T110" s="373">
        <f>S110</f>
        <v>0</v>
      </c>
      <c r="U110" s="373">
        <f>T110</f>
        <v>0</v>
      </c>
      <c r="V110" s="373">
        <f>U110</f>
        <v>0</v>
      </c>
      <c r="W110" s="373">
        <f>V110</f>
        <v>0</v>
      </c>
      <c r="X110" s="373">
        <f>W110</f>
        <v>0</v>
      </c>
      <c r="Y110" s="382">
        <v>0</v>
      </c>
    </row>
    <row r="111" spans="1:26" ht="13.5" thickBot="1" x14ac:dyDescent="0.25">
      <c r="A111" s="379" t="s">
        <v>119</v>
      </c>
      <c r="B111" s="374">
        <f t="shared" ref="B111:V111" si="25">(C110+B110)*(C109-B109)/2</f>
        <v>7.3168000000000011E-2</v>
      </c>
      <c r="C111" s="375">
        <f t="shared" si="25"/>
        <v>0.43462799999999996</v>
      </c>
      <c r="D111" s="375">
        <f t="shared" si="25"/>
        <v>0.36475200000000002</v>
      </c>
      <c r="E111" s="375">
        <f t="shared" si="25"/>
        <v>0.71775000000000011</v>
      </c>
      <c r="F111" s="375">
        <f t="shared" si="25"/>
        <v>0.68991100000000005</v>
      </c>
      <c r="G111" s="375">
        <f t="shared" si="25"/>
        <v>5.4911909999999997</v>
      </c>
      <c r="H111" s="375">
        <f t="shared" si="25"/>
        <v>5.3583750000000006</v>
      </c>
      <c r="I111" s="375">
        <f t="shared" si="25"/>
        <v>5.2561979999999986</v>
      </c>
      <c r="J111" s="375">
        <f>(K110+J110)*(K109-J109)/2</f>
        <v>3.2135625000000001</v>
      </c>
      <c r="K111" s="375">
        <f t="shared" si="25"/>
        <v>1.4688125000000014</v>
      </c>
      <c r="L111" s="375">
        <f t="shared" si="25"/>
        <v>0.93123749999999939</v>
      </c>
      <c r="M111" s="375">
        <f t="shared" si="25"/>
        <v>0.14982850000000014</v>
      </c>
      <c r="N111" s="375">
        <f t="shared" si="25"/>
        <v>0.10819199999999986</v>
      </c>
      <c r="O111" s="375">
        <f t="shared" si="25"/>
        <v>1.191300000000001E-2</v>
      </c>
      <c r="P111" s="375">
        <f t="shared" si="25"/>
        <v>0</v>
      </c>
      <c r="Q111" s="375">
        <f t="shared" si="25"/>
        <v>0</v>
      </c>
      <c r="R111" s="375">
        <f t="shared" si="25"/>
        <v>0</v>
      </c>
      <c r="S111" s="375">
        <f>(T110+S110)*(T109-S109)/2</f>
        <v>0</v>
      </c>
      <c r="T111" s="375">
        <f t="shared" si="25"/>
        <v>0</v>
      </c>
      <c r="U111" s="375">
        <f t="shared" si="25"/>
        <v>0</v>
      </c>
      <c r="V111" s="375">
        <f t="shared" si="25"/>
        <v>0</v>
      </c>
      <c r="W111" s="375">
        <f>(X110+W110)*(X109-W109)/2</f>
        <v>0</v>
      </c>
      <c r="X111" s="375">
        <f>(Y110+X110)*(Y109-X109)/2</f>
        <v>0</v>
      </c>
      <c r="Y111" s="369"/>
    </row>
    <row r="112" spans="1:26" ht="13.5" thickBot="1" x14ac:dyDescent="0.25"/>
    <row r="113" spans="1:26" ht="13.5" thickBot="1" x14ac:dyDescent="0.25">
      <c r="A113" s="361" t="s">
        <v>421</v>
      </c>
      <c r="B113" s="359">
        <f>ROW(A113)</f>
        <v>113</v>
      </c>
      <c r="C113" s="363" t="s">
        <v>118</v>
      </c>
      <c r="D113" s="353">
        <f>SUM(B116:Y116)</f>
        <v>24.488898000000002</v>
      </c>
      <c r="E113" s="363" t="s">
        <v>117</v>
      </c>
      <c r="F113" s="354">
        <f>D113/g/J113</f>
        <v>121.771701350041</v>
      </c>
      <c r="G113" s="363" t="s">
        <v>59</v>
      </c>
      <c r="H113" s="64">
        <v>5.6500000000000002E-2</v>
      </c>
      <c r="I113" s="363" t="s">
        <v>274</v>
      </c>
      <c r="J113" s="355">
        <f>H113-L113</f>
        <v>2.0500000000000004E-2</v>
      </c>
      <c r="K113" s="363" t="s">
        <v>275</v>
      </c>
      <c r="L113" s="64">
        <v>3.5999999999999997E-2</v>
      </c>
      <c r="M113" s="363" t="s">
        <v>60</v>
      </c>
      <c r="N113" s="396">
        <v>35</v>
      </c>
      <c r="O113" s="363" t="s">
        <v>62</v>
      </c>
      <c r="P113" s="396">
        <v>35</v>
      </c>
      <c r="Q113" s="363" t="s">
        <v>63</v>
      </c>
      <c r="R113" s="65">
        <v>69</v>
      </c>
      <c r="S113" s="363" t="s">
        <v>64</v>
      </c>
      <c r="T113" s="65">
        <v>24</v>
      </c>
      <c r="U113" s="363" t="s">
        <v>57</v>
      </c>
      <c r="V113" s="66" t="s">
        <v>404</v>
      </c>
      <c r="W113" s="463" t="s">
        <v>398</v>
      </c>
      <c r="X113" s="465">
        <v>0.33</v>
      </c>
      <c r="Y113" s="463" t="s">
        <v>397</v>
      </c>
      <c r="Z113" s="358">
        <v>17</v>
      </c>
    </row>
    <row r="114" spans="1:26" x14ac:dyDescent="0.2">
      <c r="A114" s="362" t="s">
        <v>33</v>
      </c>
      <c r="B114" s="370">
        <v>0</v>
      </c>
      <c r="C114" s="371">
        <v>8.9999999999999993E-3</v>
      </c>
      <c r="D114" s="371">
        <v>1.2E-2</v>
      </c>
      <c r="E114" s="371">
        <v>2.3E-2</v>
      </c>
      <c r="F114" s="371">
        <v>2.7E-2</v>
      </c>
      <c r="G114" s="371">
        <v>4.7E-2</v>
      </c>
      <c r="H114" s="371">
        <v>9.1999999999999998E-2</v>
      </c>
      <c r="I114" s="371">
        <v>0.11799999999999999</v>
      </c>
      <c r="J114" s="371">
        <v>0.14099999999999999</v>
      </c>
      <c r="K114" s="371">
        <v>0.192</v>
      </c>
      <c r="L114" s="371">
        <v>0.222</v>
      </c>
      <c r="M114" s="371">
        <v>0.25</v>
      </c>
      <c r="N114" s="371">
        <v>0.26</v>
      </c>
      <c r="O114" s="371">
        <v>0.28100000000000003</v>
      </c>
      <c r="P114" s="371">
        <v>0.28699999999999998</v>
      </c>
      <c r="Q114" s="371">
        <v>0.30599999999999999</v>
      </c>
      <c r="R114" s="371">
        <v>0.314</v>
      </c>
      <c r="S114" s="371">
        <v>0.32600000000000001</v>
      </c>
      <c r="T114" s="371">
        <v>0.32900000000000001</v>
      </c>
      <c r="U114" s="371">
        <v>0.5</v>
      </c>
      <c r="V114" s="371">
        <v>1</v>
      </c>
      <c r="W114" s="371">
        <v>2</v>
      </c>
      <c r="X114" s="371">
        <v>2</v>
      </c>
      <c r="Y114" s="381">
        <v>1000</v>
      </c>
    </row>
    <row r="115" spans="1:26" x14ac:dyDescent="0.2">
      <c r="A115" s="378" t="s">
        <v>34</v>
      </c>
      <c r="B115" s="372">
        <v>0</v>
      </c>
      <c r="C115" s="373">
        <v>84.212999999999994</v>
      </c>
      <c r="D115" s="373">
        <v>95.099000000000004</v>
      </c>
      <c r="E115" s="373">
        <v>77.08</v>
      </c>
      <c r="F115" s="373">
        <v>68.697000000000003</v>
      </c>
      <c r="G115" s="373">
        <v>73.451999999999998</v>
      </c>
      <c r="H115" s="373">
        <v>81.834999999999994</v>
      </c>
      <c r="I115" s="373">
        <v>83.837000000000003</v>
      </c>
      <c r="J115" s="373">
        <v>86.465000000000003</v>
      </c>
      <c r="K115" s="373">
        <v>86.965999999999994</v>
      </c>
      <c r="L115" s="373">
        <v>85.338999999999999</v>
      </c>
      <c r="M115" s="373">
        <v>80.082999999999998</v>
      </c>
      <c r="N115" s="373">
        <v>78.331999999999994</v>
      </c>
      <c r="O115" s="373">
        <v>82.960999999999999</v>
      </c>
      <c r="P115" s="373">
        <v>78.206000000000003</v>
      </c>
      <c r="Q115" s="373">
        <v>24.776</v>
      </c>
      <c r="R115" s="373">
        <v>14.14</v>
      </c>
      <c r="S115" s="373">
        <v>8.5090000000000003</v>
      </c>
      <c r="T115" s="373">
        <v>0</v>
      </c>
      <c r="U115" s="373">
        <f>T115</f>
        <v>0</v>
      </c>
      <c r="V115" s="373">
        <f>U115</f>
        <v>0</v>
      </c>
      <c r="W115" s="373">
        <f>V115</f>
        <v>0</v>
      </c>
      <c r="X115" s="373">
        <f>W115</f>
        <v>0</v>
      </c>
      <c r="Y115" s="382">
        <v>0</v>
      </c>
    </row>
    <row r="116" spans="1:26" ht="13.5" thickBot="1" x14ac:dyDescent="0.25">
      <c r="A116" s="379" t="s">
        <v>119</v>
      </c>
      <c r="B116" s="374">
        <f t="shared" ref="B116:V116" si="26">(C115+B115)*(C114-B114)/2</f>
        <v>0.37895849999999992</v>
      </c>
      <c r="C116" s="375">
        <f t="shared" si="26"/>
        <v>0.2689680000000001</v>
      </c>
      <c r="D116" s="375">
        <f t="shared" si="26"/>
        <v>0.94698450000000001</v>
      </c>
      <c r="E116" s="375">
        <f t="shared" si="26"/>
        <v>0.29155399999999998</v>
      </c>
      <c r="F116" s="375">
        <f t="shared" si="26"/>
        <v>1.4214900000000001</v>
      </c>
      <c r="G116" s="375">
        <f t="shared" si="26"/>
        <v>3.4939574999999992</v>
      </c>
      <c r="H116" s="375">
        <f t="shared" si="26"/>
        <v>2.1537359999999994</v>
      </c>
      <c r="I116" s="375">
        <f t="shared" si="26"/>
        <v>1.9584729999999997</v>
      </c>
      <c r="J116" s="375">
        <f>(K115+J115)*(K114-J114)/2</f>
        <v>4.4224905000000012</v>
      </c>
      <c r="K116" s="375">
        <f t="shared" si="26"/>
        <v>2.5845750000000001</v>
      </c>
      <c r="L116" s="375">
        <f t="shared" si="26"/>
        <v>2.3159079999999999</v>
      </c>
      <c r="M116" s="375">
        <f t="shared" si="26"/>
        <v>0.79207500000000064</v>
      </c>
      <c r="N116" s="375">
        <f t="shared" si="26"/>
        <v>1.6935765000000016</v>
      </c>
      <c r="O116" s="375">
        <f t="shared" si="26"/>
        <v>0.48350099999999596</v>
      </c>
      <c r="P116" s="375">
        <f t="shared" si="26"/>
        <v>0.97832900000000089</v>
      </c>
      <c r="Q116" s="375">
        <f t="shared" si="26"/>
        <v>0.15566400000000014</v>
      </c>
      <c r="R116" s="375">
        <f t="shared" si="26"/>
        <v>0.13589400000000013</v>
      </c>
      <c r="S116" s="375">
        <f>(T115+S115)*(T114-S114)/2</f>
        <v>1.2763500000000013E-2</v>
      </c>
      <c r="T116" s="375">
        <f t="shared" si="26"/>
        <v>0</v>
      </c>
      <c r="U116" s="375">
        <f t="shared" si="26"/>
        <v>0</v>
      </c>
      <c r="V116" s="375">
        <f t="shared" si="26"/>
        <v>0</v>
      </c>
      <c r="W116" s="375">
        <f>(X115+W115)*(X114-W114)/2</f>
        <v>0</v>
      </c>
      <c r="X116" s="375">
        <f>(Y115+X115)*(Y114-X114)/2</f>
        <v>0</v>
      </c>
      <c r="Y116" s="369"/>
    </row>
    <row r="117" spans="1:26" ht="13.5" thickBot="1" x14ac:dyDescent="0.25"/>
    <row r="118" spans="1:26" ht="13.5" thickBot="1" x14ac:dyDescent="0.25">
      <c r="A118" s="361" t="s">
        <v>324</v>
      </c>
      <c r="B118" s="359">
        <f>ROW(A118)</f>
        <v>118</v>
      </c>
      <c r="C118" s="363" t="s">
        <v>118</v>
      </c>
      <c r="D118" s="353">
        <f>SUM(B121:Y121)</f>
        <v>26.083982500000001</v>
      </c>
      <c r="E118" s="363" t="s">
        <v>117</v>
      </c>
      <c r="F118" s="354">
        <f>D118/g/J118</f>
        <v>166.18235537716615</v>
      </c>
      <c r="G118" s="363" t="s">
        <v>59</v>
      </c>
      <c r="H118" s="64">
        <v>5.1999999999999998E-2</v>
      </c>
      <c r="I118" s="363" t="s">
        <v>274</v>
      </c>
      <c r="J118" s="355">
        <f>H118-L118</f>
        <v>1.6E-2</v>
      </c>
      <c r="K118" s="363" t="s">
        <v>275</v>
      </c>
      <c r="L118" s="64">
        <v>3.5999999999999997E-2</v>
      </c>
      <c r="M118" s="363" t="s">
        <v>60</v>
      </c>
      <c r="N118" s="396">
        <v>35</v>
      </c>
      <c r="O118" s="363" t="s">
        <v>62</v>
      </c>
      <c r="P118" s="396">
        <v>35</v>
      </c>
      <c r="Q118" s="363" t="s">
        <v>63</v>
      </c>
      <c r="R118" s="65">
        <v>69</v>
      </c>
      <c r="S118" s="363" t="s">
        <v>64</v>
      </c>
      <c r="T118" s="65">
        <v>24</v>
      </c>
      <c r="U118" s="363" t="s">
        <v>57</v>
      </c>
      <c r="V118" s="66" t="s">
        <v>403</v>
      </c>
      <c r="W118" s="463" t="s">
        <v>398</v>
      </c>
      <c r="X118" s="465">
        <v>0.85</v>
      </c>
      <c r="Y118" s="463" t="s">
        <v>397</v>
      </c>
      <c r="Z118" s="358">
        <v>15</v>
      </c>
    </row>
    <row r="119" spans="1:26" x14ac:dyDescent="0.2">
      <c r="A119" s="362" t="s">
        <v>33</v>
      </c>
      <c r="B119" s="370">
        <v>0</v>
      </c>
      <c r="C119" s="371">
        <v>0.02</v>
      </c>
      <c r="D119" s="371">
        <v>2.7E-2</v>
      </c>
      <c r="E119" s="371">
        <v>4.9000000000000002E-2</v>
      </c>
      <c r="F119" s="371">
        <v>0.113</v>
      </c>
      <c r="G119" s="371">
        <v>0.193</v>
      </c>
      <c r="H119" s="371">
        <v>0.28199999999999997</v>
      </c>
      <c r="I119" s="371">
        <v>0.5</v>
      </c>
      <c r="J119" s="371">
        <v>0.72699999999999998</v>
      </c>
      <c r="K119" s="371">
        <v>0.77100000000000002</v>
      </c>
      <c r="L119" s="371">
        <v>0.80700000000000005</v>
      </c>
      <c r="M119" s="371">
        <v>0.84</v>
      </c>
      <c r="N119" s="371">
        <v>0.87</v>
      </c>
      <c r="O119" s="371">
        <v>1</v>
      </c>
      <c r="P119" s="371">
        <v>1</v>
      </c>
      <c r="Q119" s="371">
        <v>1</v>
      </c>
      <c r="R119" s="371">
        <v>1</v>
      </c>
      <c r="S119" s="371">
        <v>1</v>
      </c>
      <c r="T119" s="371">
        <v>1</v>
      </c>
      <c r="U119" s="371">
        <v>1</v>
      </c>
      <c r="V119" s="371">
        <v>1</v>
      </c>
      <c r="W119" s="371">
        <v>1</v>
      </c>
      <c r="X119" s="371">
        <v>2</v>
      </c>
      <c r="Y119" s="381">
        <v>1000</v>
      </c>
    </row>
    <row r="120" spans="1:26" x14ac:dyDescent="0.2">
      <c r="A120" s="378" t="s">
        <v>34</v>
      </c>
      <c r="B120" s="372">
        <v>0</v>
      </c>
      <c r="C120" s="373">
        <v>43.823999999999998</v>
      </c>
      <c r="D120" s="373">
        <v>39.963999999999999</v>
      </c>
      <c r="E120" s="373">
        <v>26.780999999999999</v>
      </c>
      <c r="F120" s="373">
        <v>32.600999999999999</v>
      </c>
      <c r="G120" s="373">
        <v>34.738999999999997</v>
      </c>
      <c r="H120" s="373">
        <v>35.808</v>
      </c>
      <c r="I120" s="373">
        <v>34.442</v>
      </c>
      <c r="J120" s="373">
        <v>29.276</v>
      </c>
      <c r="K120" s="373">
        <v>22.742999999999999</v>
      </c>
      <c r="L120" s="373">
        <v>9.5609999999999999</v>
      </c>
      <c r="M120" s="373">
        <v>3.5630000000000002</v>
      </c>
      <c r="N120" s="373">
        <v>0</v>
      </c>
      <c r="O120" s="373">
        <v>0</v>
      </c>
      <c r="P120" s="373">
        <v>0</v>
      </c>
      <c r="Q120" s="373">
        <v>0</v>
      </c>
      <c r="R120" s="373">
        <v>0</v>
      </c>
      <c r="S120" s="373">
        <v>0</v>
      </c>
      <c r="T120" s="373">
        <f>S120</f>
        <v>0</v>
      </c>
      <c r="U120" s="373">
        <f>T120</f>
        <v>0</v>
      </c>
      <c r="V120" s="373">
        <f>U120</f>
        <v>0</v>
      </c>
      <c r="W120" s="373">
        <f>V120</f>
        <v>0</v>
      </c>
      <c r="X120" s="373">
        <f>W120</f>
        <v>0</v>
      </c>
      <c r="Y120" s="382">
        <v>0</v>
      </c>
    </row>
    <row r="121" spans="1:26" ht="13.5" thickBot="1" x14ac:dyDescent="0.25">
      <c r="A121" s="379" t="s">
        <v>119</v>
      </c>
      <c r="B121" s="374">
        <f t="shared" ref="B121:V121" si="27">(C120+B120)*(C119-B119)/2</f>
        <v>0.43823999999999996</v>
      </c>
      <c r="C121" s="375">
        <f t="shared" si="27"/>
        <v>0.29325799999999996</v>
      </c>
      <c r="D121" s="375">
        <f t="shared" si="27"/>
        <v>0.73419500000000015</v>
      </c>
      <c r="E121" s="375">
        <f t="shared" si="27"/>
        <v>1.9002239999999999</v>
      </c>
      <c r="F121" s="375">
        <f t="shared" si="27"/>
        <v>2.6936</v>
      </c>
      <c r="G121" s="375">
        <f t="shared" si="27"/>
        <v>3.1393414999999987</v>
      </c>
      <c r="H121" s="375">
        <f t="shared" si="27"/>
        <v>7.6572500000000012</v>
      </c>
      <c r="I121" s="375">
        <f t="shared" si="27"/>
        <v>7.2319930000000001</v>
      </c>
      <c r="J121" s="375">
        <f>(K120+J120)*(K119-J119)/2</f>
        <v>1.144418000000001</v>
      </c>
      <c r="K121" s="375">
        <f t="shared" si="27"/>
        <v>0.58147200000000054</v>
      </c>
      <c r="L121" s="375">
        <f t="shared" si="27"/>
        <v>0.21654599999999946</v>
      </c>
      <c r="M121" s="375">
        <f t="shared" si="27"/>
        <v>5.3445000000000048E-2</v>
      </c>
      <c r="N121" s="375">
        <f t="shared" si="27"/>
        <v>0</v>
      </c>
      <c r="O121" s="375">
        <f t="shared" si="27"/>
        <v>0</v>
      </c>
      <c r="P121" s="375">
        <f t="shared" si="27"/>
        <v>0</v>
      </c>
      <c r="Q121" s="375">
        <f t="shared" si="27"/>
        <v>0</v>
      </c>
      <c r="R121" s="375">
        <f t="shared" si="27"/>
        <v>0</v>
      </c>
      <c r="S121" s="375">
        <f>(T120+S120)*(T119-S119)/2</f>
        <v>0</v>
      </c>
      <c r="T121" s="375">
        <f t="shared" si="27"/>
        <v>0</v>
      </c>
      <c r="U121" s="375">
        <f t="shared" si="27"/>
        <v>0</v>
      </c>
      <c r="V121" s="375">
        <f t="shared" si="27"/>
        <v>0</v>
      </c>
      <c r="W121" s="375">
        <f>(X120+W120)*(X119-W119)/2</f>
        <v>0</v>
      </c>
      <c r="X121" s="375">
        <f>(Y120+X120)*(Y119-X119)/2</f>
        <v>0</v>
      </c>
      <c r="Y121" s="369"/>
    </row>
    <row r="122" spans="1:26" ht="13.5" thickBot="1" x14ac:dyDescent="0.25">
      <c r="A122" s="6" t="s">
        <v>393</v>
      </c>
    </row>
    <row r="123" spans="1:26" ht="13.5" thickBot="1" x14ac:dyDescent="0.25">
      <c r="A123" s="361" t="s">
        <v>394</v>
      </c>
      <c r="B123" s="359">
        <f>ROW(A123)</f>
        <v>123</v>
      </c>
      <c r="C123" s="363" t="s">
        <v>118</v>
      </c>
      <c r="D123" s="353">
        <f>SUM(B126:Y126)</f>
        <v>49.788765499999997</v>
      </c>
      <c r="E123" s="363" t="s">
        <v>117</v>
      </c>
      <c r="F123" s="354">
        <v>231</v>
      </c>
      <c r="G123" s="363" t="s">
        <v>59</v>
      </c>
      <c r="H123" s="64">
        <v>7.2999999999999995E-2</v>
      </c>
      <c r="I123" s="363" t="s">
        <v>274</v>
      </c>
      <c r="J123" s="355">
        <f>H123-L123</f>
        <v>2.7999999999999997E-2</v>
      </c>
      <c r="K123" s="363" t="s">
        <v>275</v>
      </c>
      <c r="L123" s="64">
        <v>4.4999999999999998E-2</v>
      </c>
      <c r="M123" s="363" t="s">
        <v>60</v>
      </c>
      <c r="N123" s="396">
        <v>50</v>
      </c>
      <c r="O123" s="363" t="s">
        <v>62</v>
      </c>
      <c r="P123" s="396">
        <v>50</v>
      </c>
      <c r="Q123" s="363" t="s">
        <v>63</v>
      </c>
      <c r="R123" s="65">
        <v>101</v>
      </c>
      <c r="S123" s="363" t="s">
        <v>64</v>
      </c>
      <c r="T123" s="65">
        <v>24</v>
      </c>
      <c r="U123" s="363" t="s">
        <v>57</v>
      </c>
      <c r="V123" s="66" t="s">
        <v>122</v>
      </c>
      <c r="W123" s="463" t="s">
        <v>398</v>
      </c>
      <c r="X123" s="465">
        <v>1</v>
      </c>
      <c r="Y123" s="463" t="s">
        <v>397</v>
      </c>
      <c r="Z123" s="358">
        <v>13</v>
      </c>
    </row>
    <row r="124" spans="1:26" x14ac:dyDescent="0.2">
      <c r="A124" s="362" t="s">
        <v>33</v>
      </c>
      <c r="B124" s="471">
        <v>0</v>
      </c>
      <c r="C124" s="471">
        <v>1E-3</v>
      </c>
      <c r="D124" s="471">
        <v>2.7E-2</v>
      </c>
      <c r="E124" s="471">
        <v>5.0999999999999997E-2</v>
      </c>
      <c r="F124" s="471">
        <v>0.06</v>
      </c>
      <c r="G124" s="471">
        <v>9.1999999999999998E-2</v>
      </c>
      <c r="H124" s="471">
        <v>0.11899999999999999</v>
      </c>
      <c r="I124" s="471">
        <v>0.17</v>
      </c>
      <c r="J124" s="471">
        <v>0.3</v>
      </c>
      <c r="K124" s="471">
        <v>0.46200000000000002</v>
      </c>
      <c r="L124" s="471">
        <v>0.56899999999999995</v>
      </c>
      <c r="M124" s="471">
        <v>0.67500000000000004</v>
      </c>
      <c r="N124" s="471">
        <v>0.77800000000000002</v>
      </c>
      <c r="O124" s="471">
        <v>0.84599999999999997</v>
      </c>
      <c r="P124" s="471">
        <v>0.91700000000000004</v>
      </c>
      <c r="Q124" s="471">
        <v>1.0089999999999999</v>
      </c>
      <c r="R124" s="471">
        <v>1.032</v>
      </c>
      <c r="S124" s="471">
        <v>1.0449999999999999</v>
      </c>
      <c r="T124" s="371">
        <v>2</v>
      </c>
      <c r="U124" s="371">
        <v>2</v>
      </c>
      <c r="V124" s="371">
        <v>2</v>
      </c>
      <c r="W124" s="371">
        <v>2</v>
      </c>
      <c r="X124" s="371">
        <v>2</v>
      </c>
      <c r="Y124" s="381">
        <v>1000</v>
      </c>
    </row>
    <row r="125" spans="1:26" x14ac:dyDescent="0.2">
      <c r="A125" s="378" t="s">
        <v>34</v>
      </c>
      <c r="B125" s="471">
        <v>0</v>
      </c>
      <c r="C125" s="471">
        <v>5.1449999999999996</v>
      </c>
      <c r="D125" s="471">
        <v>67.975999999999999</v>
      </c>
      <c r="E125" s="471">
        <v>53.807000000000002</v>
      </c>
      <c r="F125" s="471">
        <v>52.88</v>
      </c>
      <c r="G125" s="471">
        <v>55.915999999999997</v>
      </c>
      <c r="H125" s="471">
        <v>57.94</v>
      </c>
      <c r="I125" s="471">
        <v>59.710999999999999</v>
      </c>
      <c r="J125" s="471">
        <v>61.145000000000003</v>
      </c>
      <c r="K125" s="471">
        <v>58.951999999999998</v>
      </c>
      <c r="L125" s="471">
        <v>55.578000000000003</v>
      </c>
      <c r="M125" s="471">
        <v>52.204999999999998</v>
      </c>
      <c r="N125" s="471">
        <v>46.386000000000003</v>
      </c>
      <c r="O125" s="471">
        <v>38.119999999999997</v>
      </c>
      <c r="P125" s="471">
        <v>20.324999999999999</v>
      </c>
      <c r="Q125" s="471">
        <v>3.5419999999999998</v>
      </c>
      <c r="R125" s="471">
        <v>1.6020000000000001</v>
      </c>
      <c r="S125" s="471">
        <v>0</v>
      </c>
      <c r="T125" s="373">
        <f>S125</f>
        <v>0</v>
      </c>
      <c r="U125" s="373">
        <f>T125</f>
        <v>0</v>
      </c>
      <c r="V125" s="373">
        <f>U125</f>
        <v>0</v>
      </c>
      <c r="W125" s="373">
        <f>V125</f>
        <v>0</v>
      </c>
      <c r="X125" s="373">
        <f>W125</f>
        <v>0</v>
      </c>
      <c r="Y125" s="382">
        <v>0</v>
      </c>
    </row>
    <row r="126" spans="1:26" ht="13.5" thickBot="1" x14ac:dyDescent="0.25">
      <c r="A126" s="379" t="s">
        <v>119</v>
      </c>
      <c r="B126" s="374">
        <f t="shared" ref="B126:X126" si="28">(C125+B125)*(C124-B124)/2</f>
        <v>2.5724999999999997E-3</v>
      </c>
      <c r="C126" s="375">
        <f t="shared" si="28"/>
        <v>0.95057299999999989</v>
      </c>
      <c r="D126" s="375">
        <f t="shared" si="28"/>
        <v>1.4613959999999999</v>
      </c>
      <c r="E126" s="375">
        <f t="shared" si="28"/>
        <v>0.48009150000000012</v>
      </c>
      <c r="F126" s="375">
        <f t="shared" si="28"/>
        <v>1.7407359999999998</v>
      </c>
      <c r="G126" s="375">
        <f t="shared" si="28"/>
        <v>1.5370559999999998</v>
      </c>
      <c r="H126" s="375">
        <f t="shared" si="28"/>
        <v>3.0001005000000007</v>
      </c>
      <c r="I126" s="375">
        <f t="shared" si="28"/>
        <v>7.8556399999999984</v>
      </c>
      <c r="J126" s="375">
        <f t="shared" si="28"/>
        <v>9.727857000000002</v>
      </c>
      <c r="K126" s="375">
        <f t="shared" si="28"/>
        <v>6.1273549999999961</v>
      </c>
      <c r="L126" s="375">
        <f t="shared" si="28"/>
        <v>5.7124990000000055</v>
      </c>
      <c r="M126" s="375">
        <f t="shared" si="28"/>
        <v>5.0774364999999992</v>
      </c>
      <c r="N126" s="375">
        <f t="shared" si="28"/>
        <v>2.8732039999999976</v>
      </c>
      <c r="O126" s="375">
        <f t="shared" si="28"/>
        <v>2.0747975000000016</v>
      </c>
      <c r="P126" s="375">
        <f t="shared" si="28"/>
        <v>1.0978819999999982</v>
      </c>
      <c r="Q126" s="375">
        <f t="shared" si="28"/>
        <v>5.915600000000034E-2</v>
      </c>
      <c r="R126" s="375">
        <f t="shared" si="28"/>
        <v>1.0412999999999921E-2</v>
      </c>
      <c r="S126" s="375">
        <f t="shared" si="28"/>
        <v>0</v>
      </c>
      <c r="T126" s="375">
        <f t="shared" si="28"/>
        <v>0</v>
      </c>
      <c r="U126" s="375">
        <f t="shared" si="28"/>
        <v>0</v>
      </c>
      <c r="V126" s="375">
        <f t="shared" si="28"/>
        <v>0</v>
      </c>
      <c r="W126" s="375">
        <f t="shared" si="28"/>
        <v>0</v>
      </c>
      <c r="X126" s="375">
        <f t="shared" si="28"/>
        <v>0</v>
      </c>
      <c r="Y126" s="369"/>
    </row>
    <row r="127" spans="1:26" ht="13.5" thickBot="1" x14ac:dyDescent="0.25"/>
    <row r="128" spans="1:26" ht="13.5" thickBot="1" x14ac:dyDescent="0.25">
      <c r="A128" s="361" t="s">
        <v>395</v>
      </c>
      <c r="B128" s="359">
        <f>ROW(A128)</f>
        <v>128</v>
      </c>
      <c r="C128" s="363" t="s">
        <v>118</v>
      </c>
      <c r="D128" s="353">
        <f>SUM(B131:Y131)</f>
        <v>52.815674000000008</v>
      </c>
      <c r="E128" s="363" t="s">
        <v>117</v>
      </c>
      <c r="F128" s="354">
        <v>239</v>
      </c>
      <c r="G128" s="363" t="s">
        <v>59</v>
      </c>
      <c r="H128" s="64">
        <v>7.2999999999999995E-2</v>
      </c>
      <c r="I128" s="363" t="s">
        <v>274</v>
      </c>
      <c r="J128" s="355">
        <f>H128-L128</f>
        <v>2.8999999999999998E-2</v>
      </c>
      <c r="K128" s="363" t="s">
        <v>275</v>
      </c>
      <c r="L128" s="64">
        <v>4.3999999999999997E-2</v>
      </c>
      <c r="M128" s="363" t="s">
        <v>60</v>
      </c>
      <c r="N128" s="396">
        <v>50</v>
      </c>
      <c r="O128" s="363" t="s">
        <v>62</v>
      </c>
      <c r="P128" s="396">
        <v>50</v>
      </c>
      <c r="Q128" s="363" t="s">
        <v>63</v>
      </c>
      <c r="R128" s="65">
        <v>101</v>
      </c>
      <c r="S128" s="363" t="s">
        <v>64</v>
      </c>
      <c r="T128" s="65">
        <v>24</v>
      </c>
      <c r="U128" s="363" t="s">
        <v>57</v>
      </c>
      <c r="V128" s="66" t="s">
        <v>122</v>
      </c>
      <c r="W128" s="463" t="s">
        <v>398</v>
      </c>
      <c r="X128" s="465">
        <v>0.77</v>
      </c>
      <c r="Y128" s="463" t="s">
        <v>397</v>
      </c>
      <c r="Z128" s="358">
        <v>14</v>
      </c>
    </row>
    <row r="129" spans="1:26" x14ac:dyDescent="0.2">
      <c r="A129" s="362" t="s">
        <v>33</v>
      </c>
      <c r="B129" s="471">
        <v>0</v>
      </c>
      <c r="C129" s="471">
        <v>1E-3</v>
      </c>
      <c r="D129" s="471">
        <v>1.2999999999999999E-2</v>
      </c>
      <c r="E129" s="471">
        <v>2.3E-2</v>
      </c>
      <c r="F129" s="471">
        <v>5.1999999999999998E-2</v>
      </c>
      <c r="G129" s="471">
        <v>0.1</v>
      </c>
      <c r="H129" s="471">
        <v>0.379</v>
      </c>
      <c r="I129" s="471">
        <v>0.64100000000000001</v>
      </c>
      <c r="J129" s="471">
        <v>0.66500000000000004</v>
      </c>
      <c r="K129" s="471">
        <v>0.70599999999999996</v>
      </c>
      <c r="L129" s="471">
        <v>0.74399999999999999</v>
      </c>
      <c r="M129" s="471">
        <v>0.78700000000000003</v>
      </c>
      <c r="N129" s="471">
        <v>0.81599999999999995</v>
      </c>
      <c r="O129" s="371">
        <v>1</v>
      </c>
      <c r="P129" s="371">
        <v>1</v>
      </c>
      <c r="Q129" s="371">
        <v>1</v>
      </c>
      <c r="R129" s="371">
        <v>1</v>
      </c>
      <c r="S129" s="371">
        <v>1</v>
      </c>
      <c r="T129" s="371">
        <v>1</v>
      </c>
      <c r="U129" s="371">
        <v>1</v>
      </c>
      <c r="V129" s="371">
        <v>1</v>
      </c>
      <c r="W129" s="371">
        <v>2</v>
      </c>
      <c r="X129" s="371">
        <v>2</v>
      </c>
      <c r="Y129" s="381">
        <v>1000</v>
      </c>
    </row>
    <row r="130" spans="1:26" x14ac:dyDescent="0.2">
      <c r="A130" s="378" t="s">
        <v>34</v>
      </c>
      <c r="B130" s="471">
        <v>0</v>
      </c>
      <c r="C130" s="471">
        <v>8.3030000000000008</v>
      </c>
      <c r="D130" s="471">
        <v>85.68</v>
      </c>
      <c r="E130" s="471">
        <v>96.149000000000001</v>
      </c>
      <c r="F130" s="471">
        <v>78.820999999999998</v>
      </c>
      <c r="G130" s="471">
        <v>83.634</v>
      </c>
      <c r="H130" s="471">
        <v>77.858000000000004</v>
      </c>
      <c r="I130" s="471">
        <v>62.575000000000003</v>
      </c>
      <c r="J130" s="471">
        <v>55.716000000000001</v>
      </c>
      <c r="K130" s="471">
        <v>23.946999999999999</v>
      </c>
      <c r="L130" s="471">
        <v>9.1460000000000008</v>
      </c>
      <c r="M130" s="471">
        <v>2.7679999999999998</v>
      </c>
      <c r="N130" s="471">
        <v>0</v>
      </c>
      <c r="O130" s="373">
        <v>0</v>
      </c>
      <c r="P130" s="373">
        <v>0</v>
      </c>
      <c r="Q130" s="373">
        <v>0</v>
      </c>
      <c r="R130" s="373">
        <v>0</v>
      </c>
      <c r="S130" s="373">
        <v>0</v>
      </c>
      <c r="T130" s="373">
        <v>0</v>
      </c>
      <c r="U130" s="373">
        <v>0</v>
      </c>
      <c r="V130" s="373">
        <f>U130</f>
        <v>0</v>
      </c>
      <c r="W130" s="373">
        <f>V130</f>
        <v>0</v>
      </c>
      <c r="X130" s="373">
        <f>W130</f>
        <v>0</v>
      </c>
      <c r="Y130" s="382">
        <v>0</v>
      </c>
    </row>
    <row r="131" spans="1:26" ht="13.5" thickBot="1" x14ac:dyDescent="0.25">
      <c r="A131" s="379" t="s">
        <v>119</v>
      </c>
      <c r="B131" s="374">
        <f t="shared" ref="B131:X131" si="29">(C130+B130)*(C129-B129)/2</f>
        <v>4.1515000000000007E-3</v>
      </c>
      <c r="C131" s="375">
        <f t="shared" si="29"/>
        <v>0.56389800000000001</v>
      </c>
      <c r="D131" s="375">
        <f t="shared" si="29"/>
        <v>0.90914500000000009</v>
      </c>
      <c r="E131" s="375">
        <f t="shared" si="29"/>
        <v>2.5370649999999997</v>
      </c>
      <c r="F131" s="375">
        <f t="shared" si="29"/>
        <v>3.8989200000000004</v>
      </c>
      <c r="G131" s="375">
        <f t="shared" si="29"/>
        <v>22.528134000000005</v>
      </c>
      <c r="H131" s="375">
        <f t="shared" si="29"/>
        <v>18.396723000000001</v>
      </c>
      <c r="I131" s="375">
        <f t="shared" si="29"/>
        <v>1.4194920000000013</v>
      </c>
      <c r="J131" s="375">
        <f t="shared" si="29"/>
        <v>1.633091499999997</v>
      </c>
      <c r="K131" s="375">
        <f t="shared" si="29"/>
        <v>0.62876700000000063</v>
      </c>
      <c r="L131" s="375">
        <f t="shared" si="29"/>
        <v>0.25615100000000024</v>
      </c>
      <c r="M131" s="375">
        <f t="shared" si="29"/>
        <v>4.013599999999988E-2</v>
      </c>
      <c r="N131" s="375">
        <f t="shared" si="29"/>
        <v>0</v>
      </c>
      <c r="O131" s="375">
        <f t="shared" si="29"/>
        <v>0</v>
      </c>
      <c r="P131" s="375">
        <f t="shared" si="29"/>
        <v>0</v>
      </c>
      <c r="Q131" s="375">
        <f t="shared" si="29"/>
        <v>0</v>
      </c>
      <c r="R131" s="375">
        <f t="shared" si="29"/>
        <v>0</v>
      </c>
      <c r="S131" s="375">
        <f t="shared" si="29"/>
        <v>0</v>
      </c>
      <c r="T131" s="375">
        <f t="shared" si="29"/>
        <v>0</v>
      </c>
      <c r="U131" s="375">
        <f t="shared" si="29"/>
        <v>0</v>
      </c>
      <c r="V131" s="375">
        <f t="shared" si="29"/>
        <v>0</v>
      </c>
      <c r="W131" s="375">
        <f t="shared" si="29"/>
        <v>0</v>
      </c>
      <c r="X131" s="375">
        <f t="shared" si="29"/>
        <v>0</v>
      </c>
      <c r="Y131" s="369"/>
    </row>
    <row r="132" spans="1:26" ht="13.5" thickBot="1" x14ac:dyDescent="0.25">
      <c r="A132" s="6" t="s">
        <v>317</v>
      </c>
    </row>
    <row r="133" spans="1:26" ht="13.5" thickBot="1" x14ac:dyDescent="0.25">
      <c r="A133" s="361" t="s">
        <v>385</v>
      </c>
      <c r="B133" s="359">
        <f>ROW(A133)</f>
        <v>133</v>
      </c>
      <c r="C133" s="363" t="s">
        <v>118</v>
      </c>
      <c r="D133" s="353">
        <f>SUM(B136:Y136)</f>
        <v>41.835000000000015</v>
      </c>
      <c r="E133" s="363" t="s">
        <v>117</v>
      </c>
      <c r="F133" s="354">
        <f>D133/g/J133</f>
        <v>121.84359982525126</v>
      </c>
      <c r="G133" s="363" t="s">
        <v>59</v>
      </c>
      <c r="H133" s="64">
        <v>0.104</v>
      </c>
      <c r="I133" s="363" t="s">
        <v>274</v>
      </c>
      <c r="J133" s="355">
        <f>H133-L133</f>
        <v>3.4999999999999989E-2</v>
      </c>
      <c r="K133" s="363" t="s">
        <v>275</v>
      </c>
      <c r="L133" s="64">
        <v>6.9000000000000006E-2</v>
      </c>
      <c r="M133" s="363" t="s">
        <v>60</v>
      </c>
      <c r="N133" s="65">
        <v>49</v>
      </c>
      <c r="O133" s="363" t="s">
        <v>62</v>
      </c>
      <c r="P133" s="65">
        <v>49</v>
      </c>
      <c r="Q133" s="363" t="s">
        <v>63</v>
      </c>
      <c r="R133" s="65">
        <v>98</v>
      </c>
      <c r="S133" s="363" t="s">
        <v>64</v>
      </c>
      <c r="T133" s="65">
        <v>29</v>
      </c>
      <c r="U133" s="363" t="s">
        <v>57</v>
      </c>
      <c r="V133" s="66" t="s">
        <v>403</v>
      </c>
      <c r="W133" s="463" t="s">
        <v>398</v>
      </c>
      <c r="X133" s="465">
        <v>1.07</v>
      </c>
      <c r="Y133" s="463" t="s">
        <v>397</v>
      </c>
      <c r="Z133" s="358">
        <v>11</v>
      </c>
    </row>
    <row r="134" spans="1:26" x14ac:dyDescent="0.2">
      <c r="A134" s="362" t="s">
        <v>33</v>
      </c>
      <c r="B134" s="370">
        <v>0</v>
      </c>
      <c r="C134" s="371">
        <v>0.01</v>
      </c>
      <c r="D134" s="371">
        <v>0.02</v>
      </c>
      <c r="E134" s="371">
        <v>0.03</v>
      </c>
      <c r="F134" s="371">
        <v>0.04</v>
      </c>
      <c r="G134" s="371">
        <v>0.06</v>
      </c>
      <c r="H134" s="371">
        <v>7.0000000000000007E-2</v>
      </c>
      <c r="I134" s="371">
        <v>0.08</v>
      </c>
      <c r="J134" s="371">
        <v>0.1</v>
      </c>
      <c r="K134" s="371">
        <v>0.2</v>
      </c>
      <c r="L134" s="371">
        <v>0.3</v>
      </c>
      <c r="M134" s="371">
        <v>0.4</v>
      </c>
      <c r="N134" s="371">
        <v>0.5</v>
      </c>
      <c r="O134" s="371">
        <v>0.6</v>
      </c>
      <c r="P134" s="371">
        <v>0.7</v>
      </c>
      <c r="Q134" s="371">
        <v>0.8</v>
      </c>
      <c r="R134" s="371">
        <v>0.85</v>
      </c>
      <c r="S134" s="371">
        <v>0.92</v>
      </c>
      <c r="T134" s="371">
        <v>0.95</v>
      </c>
      <c r="U134" s="371">
        <v>0.99</v>
      </c>
      <c r="V134" s="371">
        <v>1.05</v>
      </c>
      <c r="W134" s="371">
        <v>1.05</v>
      </c>
      <c r="X134" s="371">
        <v>2</v>
      </c>
      <c r="Y134" s="381">
        <v>1000</v>
      </c>
    </row>
    <row r="135" spans="1:26" x14ac:dyDescent="0.2">
      <c r="A135" s="378" t="s">
        <v>34</v>
      </c>
      <c r="B135" s="372">
        <v>0</v>
      </c>
      <c r="C135" s="373">
        <v>12</v>
      </c>
      <c r="D135" s="373">
        <v>46</v>
      </c>
      <c r="E135" s="373">
        <v>75</v>
      </c>
      <c r="F135" s="373">
        <v>79</v>
      </c>
      <c r="G135" s="373">
        <v>77</v>
      </c>
      <c r="H135" s="373">
        <v>62</v>
      </c>
      <c r="I135" s="373">
        <v>32</v>
      </c>
      <c r="J135" s="373">
        <v>35</v>
      </c>
      <c r="K135" s="373">
        <v>38</v>
      </c>
      <c r="L135" s="373">
        <v>39</v>
      </c>
      <c r="M135" s="373">
        <v>41</v>
      </c>
      <c r="N135" s="373">
        <v>43</v>
      </c>
      <c r="O135" s="373">
        <v>43</v>
      </c>
      <c r="P135" s="373">
        <v>43</v>
      </c>
      <c r="Q135" s="373">
        <v>43</v>
      </c>
      <c r="R135" s="373">
        <v>47</v>
      </c>
      <c r="S135" s="373">
        <v>54</v>
      </c>
      <c r="T135" s="373">
        <v>32</v>
      </c>
      <c r="U135" s="373">
        <v>8</v>
      </c>
      <c r="V135" s="373">
        <v>0</v>
      </c>
      <c r="W135" s="373">
        <v>0</v>
      </c>
      <c r="X135" s="373">
        <v>0</v>
      </c>
      <c r="Y135" s="382">
        <v>0</v>
      </c>
    </row>
    <row r="136" spans="1:26" ht="13.5" thickBot="1" x14ac:dyDescent="0.25">
      <c r="A136" s="379" t="s">
        <v>119</v>
      </c>
      <c r="B136" s="374">
        <f t="shared" ref="B136:X136" si="30">(C135+B135)*(C134-B134)/2</f>
        <v>0.06</v>
      </c>
      <c r="C136" s="375">
        <f t="shared" si="30"/>
        <v>0.28999999999999998</v>
      </c>
      <c r="D136" s="375">
        <f t="shared" si="30"/>
        <v>0.60499999999999987</v>
      </c>
      <c r="E136" s="375">
        <f t="shared" si="30"/>
        <v>0.77000000000000013</v>
      </c>
      <c r="F136" s="375">
        <f t="shared" si="30"/>
        <v>1.5599999999999998</v>
      </c>
      <c r="G136" s="375">
        <f t="shared" si="30"/>
        <v>0.69500000000000062</v>
      </c>
      <c r="H136" s="375">
        <f t="shared" si="30"/>
        <v>0.46999999999999975</v>
      </c>
      <c r="I136" s="375">
        <f t="shared" si="30"/>
        <v>0.67000000000000015</v>
      </c>
      <c r="J136" s="375">
        <f t="shared" si="30"/>
        <v>3.6500000000000004</v>
      </c>
      <c r="K136" s="375">
        <f t="shared" si="30"/>
        <v>3.8499999999999992</v>
      </c>
      <c r="L136" s="375">
        <f t="shared" si="30"/>
        <v>4.0000000000000018</v>
      </c>
      <c r="M136" s="375">
        <f t="shared" si="30"/>
        <v>4.1999999999999993</v>
      </c>
      <c r="N136" s="375">
        <f t="shared" si="30"/>
        <v>4.2999999999999989</v>
      </c>
      <c r="O136" s="375">
        <f t="shared" si="30"/>
        <v>4.2999999999999989</v>
      </c>
      <c r="P136" s="375">
        <f t="shared" si="30"/>
        <v>4.3000000000000043</v>
      </c>
      <c r="Q136" s="375">
        <f t="shared" si="30"/>
        <v>2.2499999999999969</v>
      </c>
      <c r="R136" s="375">
        <f t="shared" si="30"/>
        <v>3.5350000000000033</v>
      </c>
      <c r="S136" s="375">
        <f t="shared" si="30"/>
        <v>1.2899999999999965</v>
      </c>
      <c r="T136" s="375">
        <f t="shared" si="30"/>
        <v>0.80000000000000071</v>
      </c>
      <c r="U136" s="375">
        <f t="shared" si="30"/>
        <v>0.24000000000000021</v>
      </c>
      <c r="V136" s="375">
        <f t="shared" si="30"/>
        <v>0</v>
      </c>
      <c r="W136" s="375">
        <f t="shared" si="30"/>
        <v>0</v>
      </c>
      <c r="X136" s="375">
        <f t="shared" si="30"/>
        <v>0</v>
      </c>
      <c r="Y136" s="369"/>
    </row>
    <row r="137" spans="1:26" ht="13.5" thickBo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6" ht="13.5" thickBot="1" x14ac:dyDescent="0.25">
      <c r="A138" s="361" t="s">
        <v>386</v>
      </c>
      <c r="B138" s="359">
        <f>ROW(A138)</f>
        <v>138</v>
      </c>
      <c r="C138" s="363" t="s">
        <v>118</v>
      </c>
      <c r="D138" s="353">
        <f>SUM(B141:Y141)</f>
        <v>52.564999999999998</v>
      </c>
      <c r="E138" s="363" t="s">
        <v>117</v>
      </c>
      <c r="F138" s="354">
        <f>D138/g/J138</f>
        <v>167.44712028542301</v>
      </c>
      <c r="G138" s="363" t="s">
        <v>59</v>
      </c>
      <c r="H138" s="64">
        <v>0.10100000000000001</v>
      </c>
      <c r="I138" s="363" t="s">
        <v>274</v>
      </c>
      <c r="J138" s="355">
        <f>H138-L138</f>
        <v>3.2000000000000001E-2</v>
      </c>
      <c r="K138" s="363" t="s">
        <v>275</v>
      </c>
      <c r="L138" s="64">
        <v>6.9000000000000006E-2</v>
      </c>
      <c r="M138" s="363" t="s">
        <v>60</v>
      </c>
      <c r="N138" s="65">
        <v>49</v>
      </c>
      <c r="O138" s="363" t="s">
        <v>62</v>
      </c>
      <c r="P138" s="65">
        <v>49</v>
      </c>
      <c r="Q138" s="363" t="s">
        <v>63</v>
      </c>
      <c r="R138" s="65">
        <v>98</v>
      </c>
      <c r="S138" s="363" t="s">
        <v>64</v>
      </c>
      <c r="T138" s="65">
        <v>29</v>
      </c>
      <c r="U138" s="363" t="s">
        <v>57</v>
      </c>
      <c r="V138" s="66" t="s">
        <v>403</v>
      </c>
      <c r="W138" s="463" t="s">
        <v>398</v>
      </c>
      <c r="X138" s="465">
        <v>1.8</v>
      </c>
      <c r="Y138" s="463" t="s">
        <v>397</v>
      </c>
      <c r="Z138" s="358">
        <v>12</v>
      </c>
    </row>
    <row r="139" spans="1:26" x14ac:dyDescent="0.2">
      <c r="A139" s="362" t="s">
        <v>33</v>
      </c>
      <c r="B139" s="370">
        <v>0</v>
      </c>
      <c r="C139" s="371">
        <v>0.01</v>
      </c>
      <c r="D139" s="371">
        <v>0.03</v>
      </c>
      <c r="E139" s="371">
        <v>0.04</v>
      </c>
      <c r="F139" s="371">
        <v>0.05</v>
      </c>
      <c r="G139" s="371">
        <v>0.06</v>
      </c>
      <c r="H139" s="371">
        <v>7.0000000000000007E-2</v>
      </c>
      <c r="I139" s="371">
        <v>0.08</v>
      </c>
      <c r="J139" s="371">
        <v>0.09</v>
      </c>
      <c r="K139" s="371">
        <v>0.1</v>
      </c>
      <c r="L139" s="371">
        <v>0.2</v>
      </c>
      <c r="M139" s="371">
        <v>0.3</v>
      </c>
      <c r="N139" s="371">
        <v>0.4</v>
      </c>
      <c r="O139" s="371">
        <v>0.5</v>
      </c>
      <c r="P139" s="371">
        <v>0.7</v>
      </c>
      <c r="Q139" s="371">
        <v>0.8</v>
      </c>
      <c r="R139" s="371">
        <v>0.9</v>
      </c>
      <c r="S139" s="371">
        <v>1</v>
      </c>
      <c r="T139" s="371">
        <v>1.1000000000000001</v>
      </c>
      <c r="U139" s="371">
        <v>1.24</v>
      </c>
      <c r="V139" s="371">
        <v>1.3</v>
      </c>
      <c r="W139" s="371">
        <v>1.5</v>
      </c>
      <c r="X139" s="371">
        <v>2</v>
      </c>
      <c r="Y139" s="381">
        <v>1000</v>
      </c>
    </row>
    <row r="140" spans="1:26" x14ac:dyDescent="0.2">
      <c r="A140" s="378" t="s">
        <v>34</v>
      </c>
      <c r="B140" s="372">
        <v>0</v>
      </c>
      <c r="C140" s="373">
        <v>12</v>
      </c>
      <c r="D140" s="373">
        <v>41</v>
      </c>
      <c r="E140" s="373">
        <v>42</v>
      </c>
      <c r="F140" s="373">
        <v>42</v>
      </c>
      <c r="G140" s="373">
        <v>40</v>
      </c>
      <c r="H140" s="373">
        <v>34</v>
      </c>
      <c r="I140" s="373">
        <v>34</v>
      </c>
      <c r="J140" s="373">
        <v>35</v>
      </c>
      <c r="K140" s="373">
        <v>36</v>
      </c>
      <c r="L140" s="373">
        <v>40</v>
      </c>
      <c r="M140" s="373">
        <v>42</v>
      </c>
      <c r="N140" s="373">
        <v>43</v>
      </c>
      <c r="O140" s="373">
        <v>43</v>
      </c>
      <c r="P140" s="373">
        <v>43</v>
      </c>
      <c r="Q140" s="373">
        <v>42</v>
      </c>
      <c r="R140" s="373">
        <v>41</v>
      </c>
      <c r="S140" s="373">
        <v>40</v>
      </c>
      <c r="T140" s="373">
        <v>38</v>
      </c>
      <c r="U140" s="373">
        <v>37</v>
      </c>
      <c r="V140" s="373">
        <v>12</v>
      </c>
      <c r="W140" s="373">
        <v>0</v>
      </c>
      <c r="X140" s="373">
        <v>0</v>
      </c>
      <c r="Y140" s="382">
        <v>0</v>
      </c>
    </row>
    <row r="141" spans="1:26" ht="13.5" thickBot="1" x14ac:dyDescent="0.25">
      <c r="A141" s="379" t="s">
        <v>119</v>
      </c>
      <c r="B141" s="374">
        <f t="shared" ref="B141:X141" si="31">(C140+B140)*(C139-B139)/2</f>
        <v>0.06</v>
      </c>
      <c r="C141" s="375">
        <f t="shared" si="31"/>
        <v>0.52999999999999992</v>
      </c>
      <c r="D141" s="375">
        <f t="shared" si="31"/>
        <v>0.41500000000000009</v>
      </c>
      <c r="E141" s="375">
        <f t="shared" si="31"/>
        <v>0.4200000000000001</v>
      </c>
      <c r="F141" s="375">
        <f t="shared" si="31"/>
        <v>0.40999999999999981</v>
      </c>
      <c r="G141" s="375">
        <f t="shared" si="31"/>
        <v>0.37000000000000033</v>
      </c>
      <c r="H141" s="375">
        <f t="shared" si="31"/>
        <v>0.33999999999999986</v>
      </c>
      <c r="I141" s="375">
        <f t="shared" si="31"/>
        <v>0.34499999999999981</v>
      </c>
      <c r="J141" s="375">
        <f t="shared" si="31"/>
        <v>0.35500000000000032</v>
      </c>
      <c r="K141" s="375">
        <f t="shared" si="31"/>
        <v>3.8000000000000003</v>
      </c>
      <c r="L141" s="375">
        <f t="shared" si="31"/>
        <v>4.0999999999999988</v>
      </c>
      <c r="M141" s="375">
        <f t="shared" si="31"/>
        <v>4.2500000000000018</v>
      </c>
      <c r="N141" s="375">
        <f t="shared" si="31"/>
        <v>4.2999999999999989</v>
      </c>
      <c r="O141" s="375">
        <f t="shared" si="31"/>
        <v>8.5999999999999979</v>
      </c>
      <c r="P141" s="375">
        <f t="shared" si="31"/>
        <v>4.2500000000000036</v>
      </c>
      <c r="Q141" s="375">
        <f t="shared" si="31"/>
        <v>4.1499999999999995</v>
      </c>
      <c r="R141" s="375">
        <f t="shared" si="31"/>
        <v>4.0499999999999989</v>
      </c>
      <c r="S141" s="375">
        <f t="shared" si="31"/>
        <v>3.9000000000000035</v>
      </c>
      <c r="T141" s="375">
        <f t="shared" si="31"/>
        <v>5.2499999999999964</v>
      </c>
      <c r="U141" s="375">
        <f t="shared" si="31"/>
        <v>1.4700000000000013</v>
      </c>
      <c r="V141" s="375">
        <f t="shared" si="31"/>
        <v>1.1999999999999997</v>
      </c>
      <c r="W141" s="375">
        <f t="shared" si="31"/>
        <v>0</v>
      </c>
      <c r="X141" s="375">
        <f t="shared" si="31"/>
        <v>0</v>
      </c>
      <c r="Y141" s="369"/>
    </row>
    <row r="142" spans="1:26" ht="13.5" thickBo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6" ht="13.5" thickBot="1" x14ac:dyDescent="0.25">
      <c r="A143" s="361" t="s">
        <v>387</v>
      </c>
      <c r="B143" s="359">
        <f>ROW(A143)</f>
        <v>143</v>
      </c>
      <c r="C143" s="363" t="s">
        <v>118</v>
      </c>
      <c r="D143" s="353">
        <f>SUM(B146:Y146)</f>
        <v>54.110016122119539</v>
      </c>
      <c r="E143" s="363" t="s">
        <v>117</v>
      </c>
      <c r="F143" s="354">
        <f>D143/g/J143</f>
        <v>146.69685764124625</v>
      </c>
      <c r="G143" s="363" t="s">
        <v>59</v>
      </c>
      <c r="H143" s="64">
        <v>0.10580000000000001</v>
      </c>
      <c r="I143" s="363" t="s">
        <v>274</v>
      </c>
      <c r="J143" s="355">
        <f>H143-L143</f>
        <v>3.7600000000000008E-2</v>
      </c>
      <c r="K143" s="363" t="s">
        <v>275</v>
      </c>
      <c r="L143" s="64">
        <v>6.8199999999999997E-2</v>
      </c>
      <c r="M143" s="363" t="s">
        <v>60</v>
      </c>
      <c r="N143" s="65">
        <v>49</v>
      </c>
      <c r="O143" s="363" t="s">
        <v>62</v>
      </c>
      <c r="P143" s="65">
        <v>49</v>
      </c>
      <c r="Q143" s="363" t="s">
        <v>63</v>
      </c>
      <c r="R143" s="65">
        <v>98</v>
      </c>
      <c r="S143" s="363" t="s">
        <v>64</v>
      </c>
      <c r="T143" s="65">
        <v>29</v>
      </c>
      <c r="U143" s="363" t="s">
        <v>57</v>
      </c>
      <c r="V143" s="66" t="s">
        <v>403</v>
      </c>
      <c r="W143" s="463" t="s">
        <v>398</v>
      </c>
      <c r="X143" s="465">
        <v>1.9</v>
      </c>
      <c r="Y143" s="463" t="s">
        <v>397</v>
      </c>
      <c r="Z143" s="358">
        <v>12</v>
      </c>
    </row>
    <row r="144" spans="1:26" x14ac:dyDescent="0.2">
      <c r="A144" s="362" t="s">
        <v>33</v>
      </c>
      <c r="B144" s="370">
        <v>0</v>
      </c>
      <c r="C144" s="371">
        <v>2.5000000000000001E-2</v>
      </c>
      <c r="D144" s="371">
        <v>0.05</v>
      </c>
      <c r="E144" s="371">
        <v>7.4999999999999997E-2</v>
      </c>
      <c r="F144" s="371">
        <v>0.1</v>
      </c>
      <c r="G144" s="371">
        <v>0.15</v>
      </c>
      <c r="H144" s="371">
        <v>0.17499999999999999</v>
      </c>
      <c r="I144" s="371">
        <v>0.2</v>
      </c>
      <c r="J144" s="371">
        <v>0.3</v>
      </c>
      <c r="K144" s="371">
        <v>0.4</v>
      </c>
      <c r="L144" s="371">
        <v>0.5</v>
      </c>
      <c r="M144" s="371">
        <v>0.6</v>
      </c>
      <c r="N144" s="371">
        <v>0.7</v>
      </c>
      <c r="O144" s="371">
        <v>0.8</v>
      </c>
      <c r="P144" s="371">
        <v>0.9</v>
      </c>
      <c r="Q144" s="371">
        <v>1.1000000000000001</v>
      </c>
      <c r="R144" s="371">
        <v>1.2</v>
      </c>
      <c r="S144" s="371">
        <v>1.6</v>
      </c>
      <c r="T144" s="371">
        <v>1.7</v>
      </c>
      <c r="U144" s="371">
        <v>1.8</v>
      </c>
      <c r="V144" s="371">
        <v>1.9</v>
      </c>
      <c r="W144" s="371">
        <v>1.9999</v>
      </c>
      <c r="X144" s="371">
        <v>2</v>
      </c>
      <c r="Y144" s="381">
        <v>1000</v>
      </c>
    </row>
    <row r="145" spans="1:26" x14ac:dyDescent="0.2">
      <c r="A145" s="378" t="s">
        <v>34</v>
      </c>
      <c r="B145" s="372">
        <v>0</v>
      </c>
      <c r="C145" s="376">
        <v>15.2574001848975</v>
      </c>
      <c r="D145" s="376">
        <v>26.377954255522496</v>
      </c>
      <c r="E145" s="376">
        <v>21.484910464447498</v>
      </c>
      <c r="F145" s="376">
        <v>24.020396792549999</v>
      </c>
      <c r="G145" s="376">
        <v>28.11276069054</v>
      </c>
      <c r="H145" s="376">
        <v>28.691029502212498</v>
      </c>
      <c r="I145" s="376">
        <v>29.180333881319996</v>
      </c>
      <c r="J145" s="376">
        <v>31.493409128009997</v>
      </c>
      <c r="K145" s="376">
        <v>32.560982318789996</v>
      </c>
      <c r="L145" s="376">
        <v>32.827875616484995</v>
      </c>
      <c r="M145" s="376">
        <v>32.649946751354996</v>
      </c>
      <c r="N145" s="376">
        <v>32.383053453659997</v>
      </c>
      <c r="O145" s="376">
        <v>32.249606804812501</v>
      </c>
      <c r="P145" s="376">
        <v>31.804784641987499</v>
      </c>
      <c r="Q145" s="376">
        <v>30.559282586077497</v>
      </c>
      <c r="R145" s="376">
        <v>30.069978206969999</v>
      </c>
      <c r="S145" s="376">
        <v>26.377954255522496</v>
      </c>
      <c r="T145" s="376">
        <v>24.865558901917499</v>
      </c>
      <c r="U145" s="376">
        <v>18.4601197572375</v>
      </c>
      <c r="V145" s="376">
        <v>7.5174945517424998</v>
      </c>
      <c r="W145" s="376">
        <v>1.3789487047575</v>
      </c>
      <c r="X145" s="373">
        <v>0</v>
      </c>
      <c r="Y145" s="382">
        <v>0</v>
      </c>
    </row>
    <row r="146" spans="1:26" ht="13.5" thickBot="1" x14ac:dyDescent="0.25">
      <c r="A146" s="379" t="s">
        <v>119</v>
      </c>
      <c r="B146" s="374">
        <f t="shared" ref="B146:V146" si="32">(C145+B145)*(C144-B144)/2</f>
        <v>0.19071750231121876</v>
      </c>
      <c r="C146" s="375">
        <f t="shared" si="32"/>
        <v>0.52044193050525001</v>
      </c>
      <c r="D146" s="375">
        <f t="shared" si="32"/>
        <v>0.5982858089996248</v>
      </c>
      <c r="E146" s="375">
        <f t="shared" si="32"/>
        <v>0.56881634071246889</v>
      </c>
      <c r="F146" s="375">
        <f t="shared" si="32"/>
        <v>1.3033289370772498</v>
      </c>
      <c r="G146" s="375">
        <f t="shared" si="32"/>
        <v>0.71004737740940616</v>
      </c>
      <c r="H146" s="375">
        <f t="shared" si="32"/>
        <v>0.72339204229415688</v>
      </c>
      <c r="I146" s="375">
        <f t="shared" si="32"/>
        <v>3.0336871504664993</v>
      </c>
      <c r="J146" s="375">
        <f>(K145+J145)*(K144-J144)/2</f>
        <v>3.2027195723400008</v>
      </c>
      <c r="K146" s="375">
        <f t="shared" si="32"/>
        <v>3.2694428967637483</v>
      </c>
      <c r="L146" s="375">
        <f t="shared" si="32"/>
        <v>3.2738911183919988</v>
      </c>
      <c r="M146" s="375">
        <f t="shared" si="32"/>
        <v>3.2516500102507484</v>
      </c>
      <c r="N146" s="375">
        <f t="shared" si="32"/>
        <v>3.2316330129236279</v>
      </c>
      <c r="O146" s="375">
        <f t="shared" si="32"/>
        <v>3.202719572339999</v>
      </c>
      <c r="P146" s="375">
        <f t="shared" si="32"/>
        <v>6.2364067228065014</v>
      </c>
      <c r="Q146" s="375">
        <f t="shared" si="32"/>
        <v>3.0314630396523707</v>
      </c>
      <c r="R146" s="375">
        <f t="shared" si="32"/>
        <v>11.289586492498502</v>
      </c>
      <c r="S146" s="375">
        <f>(T145+S145)*(T144-S144)/2</f>
        <v>2.5621756578719963</v>
      </c>
      <c r="T146" s="375">
        <f t="shared" si="32"/>
        <v>2.1662839329577519</v>
      </c>
      <c r="U146" s="375">
        <f t="shared" si="32"/>
        <v>1.2988807154489983</v>
      </c>
      <c r="V146" s="375">
        <f t="shared" si="32"/>
        <v>0.44437734066217544</v>
      </c>
      <c r="W146" s="375">
        <f>(X145+W145)*(X144-W144)/2</f>
        <v>6.894743523786741E-5</v>
      </c>
      <c r="X146" s="375">
        <f>(Y145+X145)*(Y144-X144)/2</f>
        <v>0</v>
      </c>
      <c r="Y146" s="369"/>
    </row>
    <row r="147" spans="1:26" ht="13.5" thickBo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6" ht="13.5" thickBot="1" x14ac:dyDescent="0.25">
      <c r="A148" s="361" t="s">
        <v>388</v>
      </c>
      <c r="B148" s="359">
        <f>ROW(A148)</f>
        <v>148</v>
      </c>
      <c r="C148" s="363" t="s">
        <v>118</v>
      </c>
      <c r="D148" s="353">
        <f>SUM(B151:Y151)</f>
        <v>55.705884500000003</v>
      </c>
      <c r="E148" s="363" t="s">
        <v>117</v>
      </c>
      <c r="F148" s="354">
        <f>D148/g/J148</f>
        <v>180.84329814241278</v>
      </c>
      <c r="G148" s="363" t="s">
        <v>59</v>
      </c>
      <c r="H148" s="64">
        <v>0.1062</v>
      </c>
      <c r="I148" s="363" t="s">
        <v>274</v>
      </c>
      <c r="J148" s="355">
        <f>H148-L148</f>
        <v>3.1400000000000011E-2</v>
      </c>
      <c r="K148" s="363" t="s">
        <v>275</v>
      </c>
      <c r="L148" s="64">
        <v>7.4799999999999991E-2</v>
      </c>
      <c r="M148" s="363" t="s">
        <v>60</v>
      </c>
      <c r="N148" s="65">
        <v>49</v>
      </c>
      <c r="O148" s="363" t="s">
        <v>62</v>
      </c>
      <c r="P148" s="65">
        <v>49</v>
      </c>
      <c r="Q148" s="363" t="s">
        <v>63</v>
      </c>
      <c r="R148" s="65">
        <v>98</v>
      </c>
      <c r="S148" s="363" t="s">
        <v>64</v>
      </c>
      <c r="T148" s="65">
        <v>29</v>
      </c>
      <c r="U148" s="363" t="s">
        <v>57</v>
      </c>
      <c r="V148" s="66" t="s">
        <v>404</v>
      </c>
      <c r="W148" s="463" t="s">
        <v>398</v>
      </c>
      <c r="X148" s="465">
        <v>0.45</v>
      </c>
      <c r="Y148" s="463" t="s">
        <v>397</v>
      </c>
      <c r="Z148" s="358">
        <v>14</v>
      </c>
    </row>
    <row r="149" spans="1:26" x14ac:dyDescent="0.2">
      <c r="A149" s="362" t="s">
        <v>33</v>
      </c>
      <c r="B149" s="370">
        <v>0</v>
      </c>
      <c r="C149" s="371">
        <v>1.2999999999999999E-2</v>
      </c>
      <c r="D149" s="371">
        <v>1.7000000000000001E-2</v>
      </c>
      <c r="E149" s="371">
        <v>0.04</v>
      </c>
      <c r="F149" s="371">
        <v>0.125</v>
      </c>
      <c r="G149" s="371">
        <v>0.17899999999999999</v>
      </c>
      <c r="H149" s="371">
        <v>0.222</v>
      </c>
      <c r="I149" s="371">
        <v>0.28899999999999998</v>
      </c>
      <c r="J149" s="371">
        <v>0.35399999999999998</v>
      </c>
      <c r="K149" s="371">
        <v>0.39400000000000002</v>
      </c>
      <c r="L149" s="371">
        <v>0.40600000000000003</v>
      </c>
      <c r="M149" s="371">
        <v>0.41599999999999998</v>
      </c>
      <c r="N149" s="371">
        <v>0.42299999999999999</v>
      </c>
      <c r="O149" s="371">
        <v>0.43099999999999999</v>
      </c>
      <c r="P149" s="371">
        <v>0.44700000000000001</v>
      </c>
      <c r="Q149" s="371">
        <v>0.45300000000000001</v>
      </c>
      <c r="R149" s="371">
        <v>0.45500000000000002</v>
      </c>
      <c r="S149" s="371">
        <v>0.45500000000000002</v>
      </c>
      <c r="T149" s="371">
        <v>0.45500000000000002</v>
      </c>
      <c r="U149" s="371">
        <v>0.45500000000000002</v>
      </c>
      <c r="V149" s="371">
        <v>0.45500000000000002</v>
      </c>
      <c r="W149" s="371">
        <v>0.45500000000000002</v>
      </c>
      <c r="X149" s="371">
        <v>2</v>
      </c>
      <c r="Y149" s="381">
        <v>1000</v>
      </c>
    </row>
    <row r="150" spans="1:26" x14ac:dyDescent="0.2">
      <c r="A150" s="378" t="s">
        <v>34</v>
      </c>
      <c r="B150" s="372">
        <v>0</v>
      </c>
      <c r="C150" s="373">
        <v>79.242000000000004</v>
      </c>
      <c r="D150" s="373">
        <v>90.427000000000007</v>
      </c>
      <c r="E150" s="373">
        <v>101.422</v>
      </c>
      <c r="F150" s="373">
        <v>127.583</v>
      </c>
      <c r="G150" s="373">
        <v>136.114</v>
      </c>
      <c r="H150" s="373">
        <v>139.905</v>
      </c>
      <c r="I150" s="373">
        <v>143.50700000000001</v>
      </c>
      <c r="J150" s="373">
        <v>138.578</v>
      </c>
      <c r="K150" s="373">
        <v>125.498</v>
      </c>
      <c r="L150" s="373">
        <v>123.602</v>
      </c>
      <c r="M150" s="373">
        <v>125.11799999999999</v>
      </c>
      <c r="N150" s="373">
        <v>130.047</v>
      </c>
      <c r="O150" s="373">
        <v>120.569</v>
      </c>
      <c r="P150" s="373">
        <v>25.591999999999999</v>
      </c>
      <c r="Q150" s="373">
        <v>8.7200000000000006</v>
      </c>
      <c r="R150" s="373">
        <v>0</v>
      </c>
      <c r="S150" s="373">
        <v>0</v>
      </c>
      <c r="T150" s="373">
        <v>0</v>
      </c>
      <c r="U150" s="373">
        <v>0</v>
      </c>
      <c r="V150" s="373">
        <v>0</v>
      </c>
      <c r="W150" s="373">
        <v>0</v>
      </c>
      <c r="X150" s="373">
        <v>0</v>
      </c>
      <c r="Y150" s="382">
        <v>0</v>
      </c>
    </row>
    <row r="151" spans="1:26" ht="13.5" thickBot="1" x14ac:dyDescent="0.25">
      <c r="A151" s="379" t="s">
        <v>119</v>
      </c>
      <c r="B151" s="374">
        <f t="shared" ref="B151:X151" si="33">(C150+B150)*(C149-B149)/2</f>
        <v>0.515073</v>
      </c>
      <c r="C151" s="375">
        <f t="shared" si="33"/>
        <v>0.3393380000000002</v>
      </c>
      <c r="D151" s="375">
        <f t="shared" si="33"/>
        <v>2.2062634999999999</v>
      </c>
      <c r="E151" s="375">
        <f t="shared" si="33"/>
        <v>9.7327124999999981</v>
      </c>
      <c r="F151" s="375">
        <f t="shared" si="33"/>
        <v>7.1198189999999988</v>
      </c>
      <c r="G151" s="375">
        <f t="shared" si="33"/>
        <v>5.9344085000000018</v>
      </c>
      <c r="H151" s="375">
        <f t="shared" si="33"/>
        <v>9.4943019999999976</v>
      </c>
      <c r="I151" s="375">
        <f t="shared" si="33"/>
        <v>9.167762500000002</v>
      </c>
      <c r="J151" s="375">
        <f t="shared" si="33"/>
        <v>5.2815200000000049</v>
      </c>
      <c r="K151" s="375">
        <f t="shared" si="33"/>
        <v>1.4946000000000015</v>
      </c>
      <c r="L151" s="375">
        <f t="shared" si="33"/>
        <v>1.2435999999999943</v>
      </c>
      <c r="M151" s="375">
        <f t="shared" si="33"/>
        <v>0.89307750000000075</v>
      </c>
      <c r="N151" s="375">
        <f t="shared" si="33"/>
        <v>1.0024640000000009</v>
      </c>
      <c r="O151" s="375">
        <f t="shared" si="33"/>
        <v>1.169288000000001</v>
      </c>
      <c r="P151" s="375">
        <f t="shared" si="33"/>
        <v>0.10293600000000008</v>
      </c>
      <c r="Q151" s="375">
        <f t="shared" si="33"/>
        <v>8.720000000000009E-3</v>
      </c>
      <c r="R151" s="375">
        <f t="shared" si="33"/>
        <v>0</v>
      </c>
      <c r="S151" s="375">
        <f t="shared" si="33"/>
        <v>0</v>
      </c>
      <c r="T151" s="375">
        <f t="shared" si="33"/>
        <v>0</v>
      </c>
      <c r="U151" s="375">
        <f t="shared" si="33"/>
        <v>0</v>
      </c>
      <c r="V151" s="375">
        <f t="shared" si="33"/>
        <v>0</v>
      </c>
      <c r="W151" s="375">
        <f t="shared" si="33"/>
        <v>0</v>
      </c>
      <c r="X151" s="375">
        <f t="shared" si="33"/>
        <v>0</v>
      </c>
      <c r="Y151" s="369"/>
    </row>
    <row r="152" spans="1:26" ht="13.5" thickBo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6" ht="13.5" thickBot="1" x14ac:dyDescent="0.25">
      <c r="A153" s="361" t="s">
        <v>389</v>
      </c>
      <c r="B153" s="359">
        <f>ROW(A153)</f>
        <v>153</v>
      </c>
      <c r="C153" s="363" t="s">
        <v>118</v>
      </c>
      <c r="D153" s="353">
        <f>SUM(B156:Y156)</f>
        <v>57.190000000000005</v>
      </c>
      <c r="E153" s="363" t="s">
        <v>117</v>
      </c>
      <c r="F153" s="354">
        <f>D153/g/J153</f>
        <v>188.05695307618953</v>
      </c>
      <c r="G153" s="363" t="s">
        <v>59</v>
      </c>
      <c r="H153" s="64">
        <v>9.9000000000000005E-2</v>
      </c>
      <c r="I153" s="363" t="s">
        <v>274</v>
      </c>
      <c r="J153" s="355">
        <f>H153-L153</f>
        <v>3.1E-2</v>
      </c>
      <c r="K153" s="363" t="s">
        <v>275</v>
      </c>
      <c r="L153" s="64">
        <v>6.8000000000000005E-2</v>
      </c>
      <c r="M153" s="363" t="s">
        <v>60</v>
      </c>
      <c r="N153" s="65">
        <v>49</v>
      </c>
      <c r="O153" s="363" t="s">
        <v>62</v>
      </c>
      <c r="P153" s="65">
        <v>49</v>
      </c>
      <c r="Q153" s="363" t="s">
        <v>63</v>
      </c>
      <c r="R153" s="65">
        <v>98</v>
      </c>
      <c r="S153" s="363" t="s">
        <v>64</v>
      </c>
      <c r="T153" s="65">
        <v>29</v>
      </c>
      <c r="U153" s="363" t="s">
        <v>57</v>
      </c>
      <c r="V153" s="66" t="s">
        <v>403</v>
      </c>
      <c r="W153" s="463" t="s">
        <v>398</v>
      </c>
      <c r="X153" s="465">
        <v>0.96</v>
      </c>
      <c r="Y153" s="463" t="s">
        <v>397</v>
      </c>
      <c r="Z153" s="358">
        <v>12</v>
      </c>
    </row>
    <row r="154" spans="1:26" x14ac:dyDescent="0.2">
      <c r="A154" s="362" t="s">
        <v>33</v>
      </c>
      <c r="B154" s="370">
        <v>0</v>
      </c>
      <c r="C154" s="371">
        <v>0.01</v>
      </c>
      <c r="D154" s="371">
        <v>0.02</v>
      </c>
      <c r="E154" s="371">
        <v>0.03</v>
      </c>
      <c r="F154" s="371">
        <v>0.04</v>
      </c>
      <c r="G154" s="371">
        <v>7.0000000000000007E-2</v>
      </c>
      <c r="H154" s="371">
        <v>0.1</v>
      </c>
      <c r="I154" s="371">
        <v>0.2</v>
      </c>
      <c r="J154" s="371">
        <v>0.3</v>
      </c>
      <c r="K154" s="371">
        <v>0.4</v>
      </c>
      <c r="L154" s="371">
        <v>0.5</v>
      </c>
      <c r="M154" s="371">
        <v>0.6</v>
      </c>
      <c r="N154" s="371">
        <v>0.7</v>
      </c>
      <c r="O154" s="371">
        <v>0.87</v>
      </c>
      <c r="P154" s="371">
        <v>0.9</v>
      </c>
      <c r="Q154" s="371">
        <v>0.97</v>
      </c>
      <c r="R154" s="371">
        <v>0.97</v>
      </c>
      <c r="S154" s="371">
        <v>0.97</v>
      </c>
      <c r="T154" s="371">
        <v>0.97</v>
      </c>
      <c r="U154" s="371">
        <v>0.97</v>
      </c>
      <c r="V154" s="371">
        <v>0.97</v>
      </c>
      <c r="W154" s="371">
        <v>0.97</v>
      </c>
      <c r="X154" s="371">
        <v>2</v>
      </c>
      <c r="Y154" s="381">
        <v>1000</v>
      </c>
    </row>
    <row r="155" spans="1:26" x14ac:dyDescent="0.2">
      <c r="A155" s="378" t="s">
        <v>34</v>
      </c>
      <c r="B155" s="372">
        <v>0</v>
      </c>
      <c r="C155" s="373">
        <v>16</v>
      </c>
      <c r="D155" s="373">
        <v>62</v>
      </c>
      <c r="E155" s="373">
        <v>67</v>
      </c>
      <c r="F155" s="373">
        <v>71</v>
      </c>
      <c r="G155" s="373">
        <v>58</v>
      </c>
      <c r="H155" s="373">
        <v>63</v>
      </c>
      <c r="I155" s="373">
        <v>67</v>
      </c>
      <c r="J155" s="373">
        <v>69</v>
      </c>
      <c r="K155" s="373">
        <v>67</v>
      </c>
      <c r="L155" s="373">
        <v>65</v>
      </c>
      <c r="M155" s="373">
        <v>63</v>
      </c>
      <c r="N155" s="373">
        <v>61</v>
      </c>
      <c r="O155" s="373">
        <v>60</v>
      </c>
      <c r="P155" s="373">
        <v>23</v>
      </c>
      <c r="Q155" s="373">
        <v>0</v>
      </c>
      <c r="R155" s="373">
        <v>0</v>
      </c>
      <c r="S155" s="373">
        <v>0</v>
      </c>
      <c r="T155" s="373">
        <v>0</v>
      </c>
      <c r="U155" s="373">
        <v>0</v>
      </c>
      <c r="V155" s="373">
        <v>0</v>
      </c>
      <c r="W155" s="373">
        <v>0</v>
      </c>
      <c r="X155" s="373">
        <v>0</v>
      </c>
      <c r="Y155" s="382">
        <v>0</v>
      </c>
    </row>
    <row r="156" spans="1:26" ht="13.5" thickBot="1" x14ac:dyDescent="0.25">
      <c r="A156" s="379" t="s">
        <v>119</v>
      </c>
      <c r="B156" s="374">
        <f t="shared" ref="B156:X156" si="34">(C155+B155)*(C154-B154)/2</f>
        <v>0.08</v>
      </c>
      <c r="C156" s="375">
        <f t="shared" si="34"/>
        <v>0.39</v>
      </c>
      <c r="D156" s="375">
        <f t="shared" si="34"/>
        <v>0.64499999999999991</v>
      </c>
      <c r="E156" s="375">
        <f t="shared" si="34"/>
        <v>0.69000000000000017</v>
      </c>
      <c r="F156" s="375">
        <f t="shared" si="34"/>
        <v>1.9350000000000003</v>
      </c>
      <c r="G156" s="375">
        <f t="shared" si="34"/>
        <v>1.8149999999999999</v>
      </c>
      <c r="H156" s="375">
        <f t="shared" si="34"/>
        <v>6.5</v>
      </c>
      <c r="I156" s="375">
        <f t="shared" si="34"/>
        <v>6.7999999999999989</v>
      </c>
      <c r="J156" s="375">
        <f t="shared" si="34"/>
        <v>6.8000000000000025</v>
      </c>
      <c r="K156" s="375">
        <f t="shared" si="34"/>
        <v>6.5999999999999988</v>
      </c>
      <c r="L156" s="375">
        <f t="shared" si="34"/>
        <v>6.3999999999999986</v>
      </c>
      <c r="M156" s="375">
        <f t="shared" si="34"/>
        <v>6.1999999999999984</v>
      </c>
      <c r="N156" s="375">
        <f t="shared" si="34"/>
        <v>10.285000000000002</v>
      </c>
      <c r="O156" s="375">
        <f t="shared" si="34"/>
        <v>1.245000000000001</v>
      </c>
      <c r="P156" s="375">
        <f t="shared" si="34"/>
        <v>0.80499999999999949</v>
      </c>
      <c r="Q156" s="375">
        <f t="shared" si="34"/>
        <v>0</v>
      </c>
      <c r="R156" s="375">
        <f t="shared" si="34"/>
        <v>0</v>
      </c>
      <c r="S156" s="375">
        <f t="shared" si="34"/>
        <v>0</v>
      </c>
      <c r="T156" s="375">
        <f t="shared" si="34"/>
        <v>0</v>
      </c>
      <c r="U156" s="375">
        <f t="shared" si="34"/>
        <v>0</v>
      </c>
      <c r="V156" s="375">
        <f t="shared" si="34"/>
        <v>0</v>
      </c>
      <c r="W156" s="375">
        <f t="shared" si="34"/>
        <v>0</v>
      </c>
      <c r="X156" s="375">
        <f t="shared" si="34"/>
        <v>0</v>
      </c>
      <c r="Y156" s="369"/>
    </row>
    <row r="157" spans="1:26" ht="13.5" thickBot="1" x14ac:dyDescent="0.25">
      <c r="A157" s="6" t="s">
        <v>318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6" ht="13.5" thickBot="1" x14ac:dyDescent="0.25">
      <c r="A158" s="361" t="s">
        <v>325</v>
      </c>
      <c r="B158" s="359">
        <f>ROW(A158)</f>
        <v>158</v>
      </c>
      <c r="C158" s="363" t="s">
        <v>118</v>
      </c>
      <c r="D158" s="353">
        <f>SUM(B161:Y161)</f>
        <v>59.702267000000006</v>
      </c>
      <c r="E158" s="363" t="s">
        <v>117</v>
      </c>
      <c r="F158" s="354">
        <f>D158/g/J158</f>
        <v>190.77924771281306</v>
      </c>
      <c r="G158" s="363" t="s">
        <v>59</v>
      </c>
      <c r="H158" s="64">
        <v>9.3899999999999997E-2</v>
      </c>
      <c r="I158" s="363" t="s">
        <v>274</v>
      </c>
      <c r="J158" s="355">
        <f>H158-L158</f>
        <v>3.1899999999999998E-2</v>
      </c>
      <c r="K158" s="363" t="s">
        <v>275</v>
      </c>
      <c r="L158" s="64">
        <f>0.095-0.033</f>
        <v>6.2E-2</v>
      </c>
      <c r="M158" s="363" t="s">
        <v>60</v>
      </c>
      <c r="N158" s="396">
        <v>66.5</v>
      </c>
      <c r="O158" s="363" t="s">
        <v>62</v>
      </c>
      <c r="P158" s="396">
        <v>66.5</v>
      </c>
      <c r="Q158" s="363" t="s">
        <v>63</v>
      </c>
      <c r="R158" s="65">
        <v>133</v>
      </c>
      <c r="S158" s="363" t="s">
        <v>64</v>
      </c>
      <c r="T158" s="65">
        <v>24</v>
      </c>
      <c r="U158" s="363" t="s">
        <v>57</v>
      </c>
      <c r="V158" s="66" t="s">
        <v>403</v>
      </c>
      <c r="W158" s="463" t="s">
        <v>398</v>
      </c>
      <c r="X158" s="465">
        <v>1.2</v>
      </c>
      <c r="Y158" s="463" t="s">
        <v>397</v>
      </c>
      <c r="Z158" s="358">
        <v>13</v>
      </c>
    </row>
    <row r="159" spans="1:26" x14ac:dyDescent="0.2">
      <c r="A159" s="362" t="s">
        <v>33</v>
      </c>
      <c r="B159" s="370">
        <v>0</v>
      </c>
      <c r="C159" s="371">
        <v>1.4999999999999999E-2</v>
      </c>
      <c r="D159" s="371">
        <v>2.1999999999999999E-2</v>
      </c>
      <c r="E159" s="371">
        <v>6.4000000000000001E-2</v>
      </c>
      <c r="F159" s="371">
        <v>0.11799999999999999</v>
      </c>
      <c r="G159" s="371">
        <v>0.34200000000000003</v>
      </c>
      <c r="H159" s="371">
        <v>0.53600000000000003</v>
      </c>
      <c r="I159" s="371">
        <v>0.74299999999999999</v>
      </c>
      <c r="J159" s="371">
        <v>0.88400000000000001</v>
      </c>
      <c r="K159" s="371">
        <v>0.97599999999999998</v>
      </c>
      <c r="L159" s="371">
        <v>1.0960000000000001</v>
      </c>
      <c r="M159" s="371">
        <v>1.246</v>
      </c>
      <c r="N159" s="371">
        <v>1.298</v>
      </c>
      <c r="O159" s="371">
        <v>2</v>
      </c>
      <c r="P159" s="371">
        <v>2</v>
      </c>
      <c r="Q159" s="371">
        <v>2</v>
      </c>
      <c r="R159" s="371">
        <v>2</v>
      </c>
      <c r="S159" s="371">
        <v>2</v>
      </c>
      <c r="T159" s="371">
        <v>2</v>
      </c>
      <c r="U159" s="371">
        <v>2</v>
      </c>
      <c r="V159" s="371">
        <v>2</v>
      </c>
      <c r="W159" s="371">
        <v>2</v>
      </c>
      <c r="X159" s="371">
        <f t="shared" ref="T159:X160" si="35">W159</f>
        <v>2</v>
      </c>
      <c r="Y159" s="381">
        <v>1000</v>
      </c>
    </row>
    <row r="160" spans="1:26" x14ac:dyDescent="0.2">
      <c r="A160" s="378" t="s">
        <v>34</v>
      </c>
      <c r="B160" s="372">
        <v>0</v>
      </c>
      <c r="C160" s="373">
        <v>64.981999999999999</v>
      </c>
      <c r="D160" s="373">
        <v>69.516000000000005</v>
      </c>
      <c r="E160" s="373">
        <v>55.536999999999999</v>
      </c>
      <c r="F160" s="373">
        <v>62.81</v>
      </c>
      <c r="G160" s="373">
        <v>62.149000000000001</v>
      </c>
      <c r="H160" s="373">
        <v>59.41</v>
      </c>
      <c r="I160" s="373">
        <v>53.837000000000003</v>
      </c>
      <c r="J160" s="373">
        <v>46.942</v>
      </c>
      <c r="K160" s="373">
        <v>40.046999999999997</v>
      </c>
      <c r="L160" s="373">
        <v>12.561999999999999</v>
      </c>
      <c r="M160" s="373">
        <v>2.0779999999999998</v>
      </c>
      <c r="N160" s="373">
        <v>0</v>
      </c>
      <c r="O160" s="373">
        <v>0</v>
      </c>
      <c r="P160" s="373">
        <v>0</v>
      </c>
      <c r="Q160" s="373">
        <v>0</v>
      </c>
      <c r="R160" s="373">
        <v>0</v>
      </c>
      <c r="S160" s="373">
        <v>0</v>
      </c>
      <c r="T160" s="373">
        <f t="shared" si="35"/>
        <v>0</v>
      </c>
      <c r="U160" s="373">
        <f t="shared" si="35"/>
        <v>0</v>
      </c>
      <c r="V160" s="373">
        <f t="shared" si="35"/>
        <v>0</v>
      </c>
      <c r="W160" s="373">
        <f t="shared" si="35"/>
        <v>0</v>
      </c>
      <c r="X160" s="373">
        <f t="shared" si="35"/>
        <v>0</v>
      </c>
      <c r="Y160" s="382">
        <v>0</v>
      </c>
    </row>
    <row r="161" spans="1:26" ht="13.5" thickBot="1" x14ac:dyDescent="0.25">
      <c r="A161" s="379" t="s">
        <v>119</v>
      </c>
      <c r="B161" s="374">
        <f t="shared" ref="B161:V161" si="36">(C160+B160)*(C159-B159)/2</f>
        <v>0.48736499999999999</v>
      </c>
      <c r="C161" s="375">
        <f t="shared" si="36"/>
        <v>0.47074299999999991</v>
      </c>
      <c r="D161" s="375">
        <f t="shared" si="36"/>
        <v>2.6261130000000001</v>
      </c>
      <c r="E161" s="375">
        <f t="shared" si="36"/>
        <v>3.1953689999999999</v>
      </c>
      <c r="F161" s="375">
        <f t="shared" si="36"/>
        <v>13.995408000000003</v>
      </c>
      <c r="G161" s="375">
        <f t="shared" si="36"/>
        <v>11.791223</v>
      </c>
      <c r="H161" s="375">
        <f t="shared" si="36"/>
        <v>11.721064499999997</v>
      </c>
      <c r="I161" s="375">
        <f t="shared" si="36"/>
        <v>7.1049195000000003</v>
      </c>
      <c r="J161" s="375">
        <f>(K160+J160)*(K159-J159)/2</f>
        <v>4.0014939999999992</v>
      </c>
      <c r="K161" s="375">
        <f t="shared" si="36"/>
        <v>3.1565400000000023</v>
      </c>
      <c r="L161" s="375">
        <f t="shared" si="36"/>
        <v>1.0979999999999992</v>
      </c>
      <c r="M161" s="375">
        <f t="shared" si="36"/>
        <v>5.4028000000000041E-2</v>
      </c>
      <c r="N161" s="375">
        <f t="shared" si="36"/>
        <v>0</v>
      </c>
      <c r="O161" s="375">
        <f t="shared" si="36"/>
        <v>0</v>
      </c>
      <c r="P161" s="375">
        <f t="shared" si="36"/>
        <v>0</v>
      </c>
      <c r="Q161" s="375">
        <f t="shared" si="36"/>
        <v>0</v>
      </c>
      <c r="R161" s="375">
        <f t="shared" si="36"/>
        <v>0</v>
      </c>
      <c r="S161" s="375">
        <f>(T160+S160)*(T159-S159)/2</f>
        <v>0</v>
      </c>
      <c r="T161" s="375">
        <f t="shared" si="36"/>
        <v>0</v>
      </c>
      <c r="U161" s="375">
        <f t="shared" si="36"/>
        <v>0</v>
      </c>
      <c r="V161" s="375">
        <f t="shared" si="36"/>
        <v>0</v>
      </c>
      <c r="W161" s="375">
        <f>(X160+W160)*(X159-W159)/2</f>
        <v>0</v>
      </c>
      <c r="X161" s="375">
        <f>(Y160+X160)*(Y159-X159)/2</f>
        <v>0</v>
      </c>
      <c r="Y161" s="369"/>
    </row>
    <row r="162" spans="1:26" ht="13.5" thickBot="1" x14ac:dyDescent="0.25"/>
    <row r="163" spans="1:26" ht="13.5" thickBot="1" x14ac:dyDescent="0.25">
      <c r="A163" s="361" t="s">
        <v>326</v>
      </c>
      <c r="B163" s="359">
        <f>ROW(A163)</f>
        <v>163</v>
      </c>
      <c r="C163" s="363" t="s">
        <v>118</v>
      </c>
      <c r="D163" s="353">
        <f>SUM(B166:Y166)</f>
        <v>68.380602999999994</v>
      </c>
      <c r="E163" s="363" t="s">
        <v>117</v>
      </c>
      <c r="F163" s="354">
        <f>D163/g/J163</f>
        <v>134.04807300243078</v>
      </c>
      <c r="G163" s="363" t="s">
        <v>59</v>
      </c>
      <c r="H163" s="64">
        <v>0.1075</v>
      </c>
      <c r="I163" s="363" t="s">
        <v>274</v>
      </c>
      <c r="J163" s="355">
        <f>H163-L163</f>
        <v>5.1999999999999998E-2</v>
      </c>
      <c r="K163" s="363" t="s">
        <v>275</v>
      </c>
      <c r="L163" s="64">
        <v>5.5500000000000001E-2</v>
      </c>
      <c r="M163" s="363" t="s">
        <v>60</v>
      </c>
      <c r="N163" s="396">
        <v>66.5</v>
      </c>
      <c r="O163" s="363" t="s">
        <v>62</v>
      </c>
      <c r="P163" s="396">
        <v>66.5</v>
      </c>
      <c r="Q163" s="363" t="s">
        <v>63</v>
      </c>
      <c r="R163" s="65">
        <v>133</v>
      </c>
      <c r="S163" s="363" t="s">
        <v>64</v>
      </c>
      <c r="T163" s="65">
        <v>24</v>
      </c>
      <c r="U163" s="363" t="s">
        <v>57</v>
      </c>
      <c r="V163" s="66" t="s">
        <v>403</v>
      </c>
      <c r="W163" s="463" t="s">
        <v>398</v>
      </c>
      <c r="X163" s="465">
        <v>0.86</v>
      </c>
      <c r="Y163" s="463" t="s">
        <v>397</v>
      </c>
      <c r="Z163" s="358">
        <v>13</v>
      </c>
    </row>
    <row r="164" spans="1:26" x14ac:dyDescent="0.2">
      <c r="A164" s="362" t="s">
        <v>33</v>
      </c>
      <c r="B164" s="370">
        <v>0</v>
      </c>
      <c r="C164" s="371">
        <v>5.0000000000000001E-3</v>
      </c>
      <c r="D164" s="371">
        <v>1.2999999999999999E-2</v>
      </c>
      <c r="E164" s="371">
        <v>2.1999999999999999E-2</v>
      </c>
      <c r="F164" s="371">
        <v>4.2999999999999997E-2</v>
      </c>
      <c r="G164" s="371">
        <v>0.11899999999999999</v>
      </c>
      <c r="H164" s="371">
        <v>0.19800000000000001</v>
      </c>
      <c r="I164" s="371">
        <v>0.26700000000000002</v>
      </c>
      <c r="J164" s="371">
        <v>0.34300000000000003</v>
      </c>
      <c r="K164" s="371">
        <v>0.40400000000000003</v>
      </c>
      <c r="L164" s="371">
        <v>0.498</v>
      </c>
      <c r="M164" s="371">
        <v>0.55500000000000005</v>
      </c>
      <c r="N164" s="371">
        <v>0.622</v>
      </c>
      <c r="O164" s="371">
        <v>0.66300000000000003</v>
      </c>
      <c r="P164" s="371">
        <v>0.70399999999999996</v>
      </c>
      <c r="Q164" s="371">
        <v>0.72899999999999998</v>
      </c>
      <c r="R164" s="371">
        <v>0.747</v>
      </c>
      <c r="S164" s="371">
        <v>0.76800000000000002</v>
      </c>
      <c r="T164" s="371">
        <v>0.82099999999999995</v>
      </c>
      <c r="U164" s="371">
        <v>0.85199999999999998</v>
      </c>
      <c r="V164" s="371">
        <v>0.89200000000000002</v>
      </c>
      <c r="W164" s="371">
        <v>1</v>
      </c>
      <c r="X164" s="371">
        <v>2</v>
      </c>
      <c r="Y164" s="381">
        <v>1000</v>
      </c>
    </row>
    <row r="165" spans="1:26" x14ac:dyDescent="0.2">
      <c r="A165" s="378" t="s">
        <v>34</v>
      </c>
      <c r="B165" s="372">
        <v>0</v>
      </c>
      <c r="C165" s="373">
        <v>60</v>
      </c>
      <c r="D165" s="373">
        <v>89.007000000000005</v>
      </c>
      <c r="E165" s="373">
        <v>96.290999999999997</v>
      </c>
      <c r="F165" s="373">
        <v>81.721999999999994</v>
      </c>
      <c r="G165" s="373">
        <v>85.563000000000002</v>
      </c>
      <c r="H165" s="373">
        <v>87.947000000000003</v>
      </c>
      <c r="I165" s="373">
        <v>89.272000000000006</v>
      </c>
      <c r="J165" s="373">
        <v>89.933999999999997</v>
      </c>
      <c r="K165" s="373">
        <v>90.861000000000004</v>
      </c>
      <c r="L165" s="373">
        <v>91.522999999999996</v>
      </c>
      <c r="M165" s="373">
        <v>89.668999999999997</v>
      </c>
      <c r="N165" s="373">
        <v>83.974000000000004</v>
      </c>
      <c r="O165" s="373">
        <v>80.53</v>
      </c>
      <c r="P165" s="373">
        <v>78.94</v>
      </c>
      <c r="Q165" s="373">
        <v>74.171999999999997</v>
      </c>
      <c r="R165" s="373">
        <v>66.887</v>
      </c>
      <c r="S165" s="373">
        <v>53.774999999999999</v>
      </c>
      <c r="T165" s="373">
        <v>18.542999999999999</v>
      </c>
      <c r="U165" s="373">
        <v>7.8150000000000004</v>
      </c>
      <c r="V165" s="373">
        <v>2.1190000000000002</v>
      </c>
      <c r="W165" s="373">
        <v>0</v>
      </c>
      <c r="X165" s="373">
        <v>0</v>
      </c>
      <c r="Y165" s="382">
        <v>0</v>
      </c>
    </row>
    <row r="166" spans="1:26" ht="13.5" thickBot="1" x14ac:dyDescent="0.25">
      <c r="A166" s="379" t="s">
        <v>119</v>
      </c>
      <c r="B166" s="374">
        <f t="shared" ref="B166:X166" si="37">(C165+B165)*(C164-B164)/2</f>
        <v>0.15</v>
      </c>
      <c r="C166" s="375">
        <f t="shared" si="37"/>
        <v>0.596028</v>
      </c>
      <c r="D166" s="375">
        <f t="shared" si="37"/>
        <v>0.83384099999999994</v>
      </c>
      <c r="E166" s="375">
        <f t="shared" si="37"/>
        <v>1.8691364999999995</v>
      </c>
      <c r="F166" s="375">
        <f t="shared" si="37"/>
        <v>6.3568299999999995</v>
      </c>
      <c r="G166" s="375">
        <f t="shared" si="37"/>
        <v>6.8536450000000011</v>
      </c>
      <c r="H166" s="375">
        <f t="shared" si="37"/>
        <v>6.1140555000000001</v>
      </c>
      <c r="I166" s="375">
        <f t="shared" si="37"/>
        <v>6.8098280000000013</v>
      </c>
      <c r="J166" s="375">
        <f t="shared" si="37"/>
        <v>5.5142475000000006</v>
      </c>
      <c r="K166" s="375">
        <f t="shared" si="37"/>
        <v>8.5720479999999988</v>
      </c>
      <c r="L166" s="375">
        <f t="shared" si="37"/>
        <v>5.1639720000000047</v>
      </c>
      <c r="M166" s="375">
        <f t="shared" si="37"/>
        <v>5.8170404999999956</v>
      </c>
      <c r="N166" s="375">
        <f t="shared" si="37"/>
        <v>3.3723320000000032</v>
      </c>
      <c r="O166" s="375">
        <f t="shared" si="37"/>
        <v>3.2691349999999941</v>
      </c>
      <c r="P166" s="375">
        <f t="shared" si="37"/>
        <v>1.9139000000000017</v>
      </c>
      <c r="Q166" s="375">
        <f t="shared" si="37"/>
        <v>1.2695310000000011</v>
      </c>
      <c r="R166" s="375">
        <f t="shared" si="37"/>
        <v>1.2669510000000013</v>
      </c>
      <c r="S166" s="375">
        <f t="shared" si="37"/>
        <v>1.9164269999999977</v>
      </c>
      <c r="T166" s="375">
        <f t="shared" si="37"/>
        <v>0.40854900000000038</v>
      </c>
      <c r="U166" s="375">
        <f t="shared" si="37"/>
        <v>0.19868000000000019</v>
      </c>
      <c r="V166" s="375">
        <f t="shared" si="37"/>
        <v>0.114426</v>
      </c>
      <c r="W166" s="375">
        <f t="shared" si="37"/>
        <v>0</v>
      </c>
      <c r="X166" s="375">
        <f t="shared" si="37"/>
        <v>0</v>
      </c>
      <c r="Y166" s="369"/>
    </row>
    <row r="167" spans="1:26" ht="13.5" thickBo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6" ht="13.5" thickBot="1" x14ac:dyDescent="0.25">
      <c r="A168" s="361" t="s">
        <v>327</v>
      </c>
      <c r="B168" s="359">
        <f>ROW(A168)</f>
        <v>168</v>
      </c>
      <c r="C168" s="363" t="s">
        <v>118</v>
      </c>
      <c r="D168" s="353">
        <f>SUM(B171:Y171)</f>
        <v>67.985428500000012</v>
      </c>
      <c r="E168" s="363" t="s">
        <v>117</v>
      </c>
      <c r="F168" s="354">
        <f>D168/g/J168</f>
        <v>181.89545859519862</v>
      </c>
      <c r="G168" s="363" t="s">
        <v>59</v>
      </c>
      <c r="H168" s="64">
        <v>9.1799999999999993E-2</v>
      </c>
      <c r="I168" s="363" t="s">
        <v>274</v>
      </c>
      <c r="J168" s="355">
        <f>H168-L168</f>
        <v>3.8099999999999988E-2</v>
      </c>
      <c r="K168" s="363" t="s">
        <v>275</v>
      </c>
      <c r="L168" s="64">
        <v>5.3700000000000005E-2</v>
      </c>
      <c r="M168" s="363" t="s">
        <v>60</v>
      </c>
      <c r="N168" s="396">
        <v>66.5</v>
      </c>
      <c r="O168" s="363" t="s">
        <v>62</v>
      </c>
      <c r="P168" s="396">
        <v>66.5</v>
      </c>
      <c r="Q168" s="363" t="s">
        <v>63</v>
      </c>
      <c r="R168" s="65">
        <v>133</v>
      </c>
      <c r="S168" s="363" t="s">
        <v>64</v>
      </c>
      <c r="T168" s="65">
        <v>24</v>
      </c>
      <c r="U168" s="363" t="s">
        <v>57</v>
      </c>
      <c r="V168" s="66" t="s">
        <v>403</v>
      </c>
      <c r="W168" s="463" t="s">
        <v>398</v>
      </c>
      <c r="X168" s="465">
        <v>0.33</v>
      </c>
      <c r="Y168" s="463" t="s">
        <v>397</v>
      </c>
      <c r="Z168" s="358">
        <v>15</v>
      </c>
    </row>
    <row r="169" spans="1:26" x14ac:dyDescent="0.2">
      <c r="A169" s="362" t="s">
        <v>33</v>
      </c>
      <c r="B169" s="370">
        <v>0</v>
      </c>
      <c r="C169" s="371">
        <v>4.0000000000000001E-3</v>
      </c>
      <c r="D169" s="371">
        <v>7.0000000000000001E-3</v>
      </c>
      <c r="E169" s="371">
        <v>0.01</v>
      </c>
      <c r="F169" s="371">
        <v>2.1999999999999999E-2</v>
      </c>
      <c r="G169" s="371">
        <v>2.8000000000000001E-2</v>
      </c>
      <c r="H169" s="371">
        <v>4.1000000000000002E-2</v>
      </c>
      <c r="I169" s="371">
        <v>5.8000000000000003E-2</v>
      </c>
      <c r="J169" s="371">
        <v>7.6999999999999999E-2</v>
      </c>
      <c r="K169" s="371">
        <v>8.8999999999999996E-2</v>
      </c>
      <c r="L169" s="371">
        <v>9.7000000000000003E-2</v>
      </c>
      <c r="M169" s="371">
        <v>0.11899999999999999</v>
      </c>
      <c r="N169" s="371">
        <v>0.14699999999999999</v>
      </c>
      <c r="O169" s="371">
        <v>0.17699999999999999</v>
      </c>
      <c r="P169" s="371">
        <v>0.20699999999999999</v>
      </c>
      <c r="Q169" s="371">
        <v>0.253</v>
      </c>
      <c r="R169" s="371">
        <v>0.25900000000000001</v>
      </c>
      <c r="S169" s="371">
        <v>0.27200000000000002</v>
      </c>
      <c r="T169" s="371">
        <v>0.28000000000000003</v>
      </c>
      <c r="U169" s="371">
        <v>0.28599999999999998</v>
      </c>
      <c r="V169" s="371">
        <v>0.29399999999999998</v>
      </c>
      <c r="W169" s="371">
        <v>0.32800000000000001</v>
      </c>
      <c r="X169" s="371">
        <v>2</v>
      </c>
      <c r="Y169" s="381">
        <v>1000</v>
      </c>
    </row>
    <row r="170" spans="1:26" x14ac:dyDescent="0.2">
      <c r="A170" s="378" t="s">
        <v>34</v>
      </c>
      <c r="B170" s="372">
        <v>0</v>
      </c>
      <c r="C170" s="376">
        <v>100.52800000000001</v>
      </c>
      <c r="D170" s="376">
        <v>197.49299999999999</v>
      </c>
      <c r="E170" s="376">
        <v>222.03200000000001</v>
      </c>
      <c r="F170" s="376">
        <v>241.42500000000001</v>
      </c>
      <c r="G170" s="376">
        <v>237.863</v>
      </c>
      <c r="H170" s="376">
        <v>239.446</v>
      </c>
      <c r="I170" s="376">
        <v>252.50700000000001</v>
      </c>
      <c r="J170" s="376">
        <v>263.98399999999998</v>
      </c>
      <c r="K170" s="376">
        <v>275.46199999999999</v>
      </c>
      <c r="L170" s="376">
        <v>271.50400000000002</v>
      </c>
      <c r="M170" s="376">
        <v>278.62799999999999</v>
      </c>
      <c r="N170" s="376">
        <v>281.39800000000002</v>
      </c>
      <c r="O170" s="376">
        <v>272.29599999999999</v>
      </c>
      <c r="P170" s="376">
        <v>258.44299999999998</v>
      </c>
      <c r="Q170" s="376">
        <v>218.47</v>
      </c>
      <c r="R170" s="376">
        <v>188.786</v>
      </c>
      <c r="S170" s="376">
        <v>74.802000000000007</v>
      </c>
      <c r="T170" s="376">
        <v>31.265999999999998</v>
      </c>
      <c r="U170" s="376">
        <v>15.831</v>
      </c>
      <c r="V170" s="376">
        <v>8.7070000000000007</v>
      </c>
      <c r="W170" s="376">
        <v>0</v>
      </c>
      <c r="X170" s="373">
        <v>0</v>
      </c>
      <c r="Y170" s="382">
        <v>0</v>
      </c>
    </row>
    <row r="171" spans="1:26" ht="13.5" thickBot="1" x14ac:dyDescent="0.25">
      <c r="A171" s="379" t="s">
        <v>119</v>
      </c>
      <c r="B171" s="374">
        <f t="shared" ref="B171:X171" si="38">(C170+B170)*(C169-B169)/2</f>
        <v>0.20105600000000001</v>
      </c>
      <c r="C171" s="375">
        <f t="shared" si="38"/>
        <v>0.44703150000000003</v>
      </c>
      <c r="D171" s="375">
        <f t="shared" si="38"/>
        <v>0.6292875</v>
      </c>
      <c r="E171" s="375">
        <f t="shared" si="38"/>
        <v>2.7807419999999996</v>
      </c>
      <c r="F171" s="375">
        <f t="shared" si="38"/>
        <v>1.4378640000000005</v>
      </c>
      <c r="G171" s="375">
        <f t="shared" si="38"/>
        <v>3.1025084999999999</v>
      </c>
      <c r="H171" s="375">
        <f t="shared" si="38"/>
        <v>4.1816005000000001</v>
      </c>
      <c r="I171" s="375">
        <f t="shared" si="38"/>
        <v>4.9066644999999989</v>
      </c>
      <c r="J171" s="375">
        <f t="shared" si="38"/>
        <v>3.2366759999999988</v>
      </c>
      <c r="K171" s="375">
        <f t="shared" si="38"/>
        <v>2.187864000000002</v>
      </c>
      <c r="L171" s="375">
        <f t="shared" si="38"/>
        <v>6.0514519999999985</v>
      </c>
      <c r="M171" s="375">
        <f t="shared" si="38"/>
        <v>7.8403640000000001</v>
      </c>
      <c r="N171" s="375">
        <f t="shared" si="38"/>
        <v>8.3054099999999984</v>
      </c>
      <c r="O171" s="375">
        <f t="shared" si="38"/>
        <v>7.9610850000000006</v>
      </c>
      <c r="P171" s="375">
        <f t="shared" si="38"/>
        <v>10.968999000000004</v>
      </c>
      <c r="Q171" s="375">
        <f t="shared" si="38"/>
        <v>1.2217680000000011</v>
      </c>
      <c r="R171" s="375">
        <f t="shared" si="38"/>
        <v>1.7133220000000016</v>
      </c>
      <c r="S171" s="375">
        <f t="shared" si="38"/>
        <v>0.42427200000000043</v>
      </c>
      <c r="T171" s="375">
        <f t="shared" si="38"/>
        <v>0.14129099999999881</v>
      </c>
      <c r="U171" s="375">
        <f t="shared" si="38"/>
        <v>9.8152000000000086E-2</v>
      </c>
      <c r="V171" s="375">
        <f t="shared" si="38"/>
        <v>0.14801900000000015</v>
      </c>
      <c r="W171" s="375">
        <f t="shared" si="38"/>
        <v>0</v>
      </c>
      <c r="X171" s="375">
        <f t="shared" si="38"/>
        <v>0</v>
      </c>
      <c r="Y171" s="369"/>
    </row>
    <row r="172" spans="1:26" ht="13.5" thickBo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6" ht="13.5" thickBot="1" x14ac:dyDescent="0.25">
      <c r="A173" s="361" t="s">
        <v>328</v>
      </c>
      <c r="B173" s="359">
        <f>ROW(A173)</f>
        <v>173</v>
      </c>
      <c r="C173" s="363" t="s">
        <v>118</v>
      </c>
      <c r="D173" s="353">
        <f>SUM(B176:Y176)</f>
        <v>73.557381500000005</v>
      </c>
      <c r="E173" s="363" t="s">
        <v>117</v>
      </c>
      <c r="F173" s="354">
        <f>D173/g/J173</f>
        <v>156.86619302308719</v>
      </c>
      <c r="G173" s="363" t="s">
        <v>59</v>
      </c>
      <c r="H173" s="64">
        <v>0.1022</v>
      </c>
      <c r="I173" s="363" t="s">
        <v>274</v>
      </c>
      <c r="J173" s="355">
        <f>H173-L173</f>
        <v>4.7800000000000002E-2</v>
      </c>
      <c r="K173" s="363" t="s">
        <v>275</v>
      </c>
      <c r="L173" s="64">
        <v>5.4399999999999997E-2</v>
      </c>
      <c r="M173" s="363" t="s">
        <v>60</v>
      </c>
      <c r="N173" s="396">
        <v>66.5</v>
      </c>
      <c r="O173" s="363" t="s">
        <v>62</v>
      </c>
      <c r="P173" s="396">
        <v>66.5</v>
      </c>
      <c r="Q173" s="363" t="s">
        <v>63</v>
      </c>
      <c r="R173" s="65">
        <v>133</v>
      </c>
      <c r="S173" s="363" t="s">
        <v>64</v>
      </c>
      <c r="T173" s="65">
        <v>24</v>
      </c>
      <c r="U173" s="363" t="s">
        <v>57</v>
      </c>
      <c r="V173" s="66" t="s">
        <v>403</v>
      </c>
      <c r="W173" s="463" t="s">
        <v>398</v>
      </c>
      <c r="X173" s="465">
        <v>2.36</v>
      </c>
      <c r="Y173" s="463" t="s">
        <v>397</v>
      </c>
      <c r="Z173" s="358">
        <v>6</v>
      </c>
    </row>
    <row r="174" spans="1:26" x14ac:dyDescent="0.2">
      <c r="A174" s="362" t="s">
        <v>33</v>
      </c>
      <c r="B174" s="370">
        <v>0</v>
      </c>
      <c r="C174" s="371">
        <v>1.4E-2</v>
      </c>
      <c r="D174" s="371">
        <v>5.6000000000000001E-2</v>
      </c>
      <c r="E174" s="371">
        <v>9.1999999999999998E-2</v>
      </c>
      <c r="F174" s="371">
        <v>0.16</v>
      </c>
      <c r="G174" s="371">
        <v>0.23200000000000001</v>
      </c>
      <c r="H174" s="371">
        <v>0.36299999999999999</v>
      </c>
      <c r="I174" s="371">
        <v>0.499</v>
      </c>
      <c r="J174" s="371">
        <v>0.65500000000000003</v>
      </c>
      <c r="K174" s="371">
        <v>0.84299999999999997</v>
      </c>
      <c r="L174" s="371">
        <v>1.216</v>
      </c>
      <c r="M174" s="371">
        <v>1.3680000000000001</v>
      </c>
      <c r="N174" s="371">
        <v>1.54</v>
      </c>
      <c r="O174" s="371">
        <v>1.675</v>
      </c>
      <c r="P174" s="371">
        <v>1.861</v>
      </c>
      <c r="Q174" s="371">
        <v>2.0129999999999999</v>
      </c>
      <c r="R174" s="371">
        <v>2.1589999999999998</v>
      </c>
      <c r="S174" s="371">
        <v>2.302</v>
      </c>
      <c r="T174" s="371">
        <v>2.4620000000000002</v>
      </c>
      <c r="U174" s="371">
        <v>2.5979999999999999</v>
      </c>
      <c r="V174" s="371">
        <v>2.5979999999999999</v>
      </c>
      <c r="W174" s="371">
        <v>2.5979999999999999</v>
      </c>
      <c r="X174" s="371">
        <v>2.5979999999999999</v>
      </c>
      <c r="Y174" s="381">
        <v>1000</v>
      </c>
    </row>
    <row r="175" spans="1:26" x14ac:dyDescent="0.2">
      <c r="A175" s="378" t="s">
        <v>34</v>
      </c>
      <c r="B175" s="372">
        <v>0</v>
      </c>
      <c r="C175" s="376">
        <v>54.222000000000001</v>
      </c>
      <c r="D175" s="376">
        <v>43.456000000000003</v>
      </c>
      <c r="E175" s="376">
        <v>50.185000000000002</v>
      </c>
      <c r="F175" s="376">
        <v>54.063000000000002</v>
      </c>
      <c r="G175" s="376">
        <v>48.363999999999997</v>
      </c>
      <c r="H175" s="376">
        <v>45.752000000000002</v>
      </c>
      <c r="I175" s="376">
        <v>43.14</v>
      </c>
      <c r="J175" s="376">
        <v>40.29</v>
      </c>
      <c r="K175" s="376">
        <v>37.835999999999999</v>
      </c>
      <c r="L175" s="376">
        <v>32.612000000000002</v>
      </c>
      <c r="M175" s="376">
        <v>30.317</v>
      </c>
      <c r="N175" s="376">
        <v>26.359000000000002</v>
      </c>
      <c r="O175" s="376">
        <v>23.509</v>
      </c>
      <c r="P175" s="376">
        <v>19.077000000000002</v>
      </c>
      <c r="Q175" s="376">
        <v>14.565</v>
      </c>
      <c r="R175" s="376">
        <v>10.053000000000001</v>
      </c>
      <c r="S175" s="376">
        <v>4.8280000000000003</v>
      </c>
      <c r="T175" s="376">
        <v>1.504</v>
      </c>
      <c r="U175" s="373">
        <v>0</v>
      </c>
      <c r="V175" s="373">
        <v>0</v>
      </c>
      <c r="W175" s="373">
        <v>0</v>
      </c>
      <c r="X175" s="373">
        <v>0</v>
      </c>
      <c r="Y175" s="382">
        <v>0</v>
      </c>
    </row>
    <row r="176" spans="1:26" ht="13.5" thickBot="1" x14ac:dyDescent="0.25">
      <c r="A176" s="379" t="s">
        <v>119</v>
      </c>
      <c r="B176" s="374">
        <f t="shared" ref="B176:X176" si="39">(C175+B175)*(C174-B174)/2</f>
        <v>0.379554</v>
      </c>
      <c r="C176" s="375">
        <f t="shared" si="39"/>
        <v>2.0512380000000001</v>
      </c>
      <c r="D176" s="375">
        <f t="shared" si="39"/>
        <v>1.685538</v>
      </c>
      <c r="E176" s="375">
        <f t="shared" si="39"/>
        <v>3.5444320000000005</v>
      </c>
      <c r="F176" s="375">
        <f t="shared" si="39"/>
        <v>3.6873720000000003</v>
      </c>
      <c r="G176" s="375">
        <f t="shared" si="39"/>
        <v>6.1645979999999989</v>
      </c>
      <c r="H176" s="375">
        <f t="shared" si="39"/>
        <v>6.0446559999999998</v>
      </c>
      <c r="I176" s="375">
        <f t="shared" si="39"/>
        <v>6.5075400000000014</v>
      </c>
      <c r="J176" s="375">
        <f t="shared" si="39"/>
        <v>7.343843999999998</v>
      </c>
      <c r="K176" s="375">
        <f t="shared" si="39"/>
        <v>13.138552000000001</v>
      </c>
      <c r="L176" s="375">
        <f t="shared" si="39"/>
        <v>4.7826040000000045</v>
      </c>
      <c r="M176" s="375">
        <f t="shared" si="39"/>
        <v>4.8741359999999982</v>
      </c>
      <c r="N176" s="375">
        <f t="shared" si="39"/>
        <v>3.3660900000000002</v>
      </c>
      <c r="O176" s="375">
        <f t="shared" si="39"/>
        <v>3.9604979999999985</v>
      </c>
      <c r="P176" s="375">
        <f t="shared" si="39"/>
        <v>2.5567919999999988</v>
      </c>
      <c r="Q176" s="375">
        <f t="shared" si="39"/>
        <v>1.797113999999999</v>
      </c>
      <c r="R176" s="375">
        <f t="shared" si="39"/>
        <v>1.0639915000000018</v>
      </c>
      <c r="S176" s="375">
        <f t="shared" si="39"/>
        <v>0.50656000000000045</v>
      </c>
      <c r="T176" s="375">
        <f t="shared" si="39"/>
        <v>0.10227199999999975</v>
      </c>
      <c r="U176" s="375">
        <f t="shared" si="39"/>
        <v>0</v>
      </c>
      <c r="V176" s="375">
        <f t="shared" si="39"/>
        <v>0</v>
      </c>
      <c r="W176" s="375">
        <f t="shared" si="39"/>
        <v>0</v>
      </c>
      <c r="X176" s="375">
        <f t="shared" si="39"/>
        <v>0</v>
      </c>
      <c r="Y176" s="369"/>
    </row>
    <row r="177" spans="1:26" ht="13.5" thickBo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6" ht="13.5" thickBot="1" x14ac:dyDescent="0.25">
      <c r="A178" s="361" t="s">
        <v>329</v>
      </c>
      <c r="B178" s="359">
        <f>ROW(A178)</f>
        <v>178</v>
      </c>
      <c r="C178" s="363" t="s">
        <v>118</v>
      </c>
      <c r="D178" s="353">
        <f>SUM(B181:Y181)</f>
        <v>73.169517999999997</v>
      </c>
      <c r="E178" s="363" t="s">
        <v>117</v>
      </c>
      <c r="F178" s="354">
        <f>D178/g/J178</f>
        <v>177.58729673316827</v>
      </c>
      <c r="G178" s="363" t="s">
        <v>59</v>
      </c>
      <c r="H178" s="64">
        <v>9.6000000000000002E-2</v>
      </c>
      <c r="I178" s="363" t="s">
        <v>274</v>
      </c>
      <c r="J178" s="355">
        <f>H178-L178</f>
        <v>4.2000000000000003E-2</v>
      </c>
      <c r="K178" s="363" t="s">
        <v>275</v>
      </c>
      <c r="L178" s="64">
        <v>5.3999999999999999E-2</v>
      </c>
      <c r="M178" s="363" t="s">
        <v>60</v>
      </c>
      <c r="N178" s="396">
        <v>66.5</v>
      </c>
      <c r="O178" s="363" t="s">
        <v>62</v>
      </c>
      <c r="P178" s="396">
        <v>66.5</v>
      </c>
      <c r="Q178" s="363" t="s">
        <v>63</v>
      </c>
      <c r="R178" s="65">
        <v>133</v>
      </c>
      <c r="S178" s="363" t="s">
        <v>64</v>
      </c>
      <c r="T178" s="65">
        <v>24</v>
      </c>
      <c r="U178" s="363" t="s">
        <v>57</v>
      </c>
      <c r="V178" s="66" t="s">
        <v>403</v>
      </c>
      <c r="W178" s="463" t="s">
        <v>398</v>
      </c>
      <c r="X178" s="465">
        <v>0.87</v>
      </c>
      <c r="Y178" s="463" t="s">
        <v>397</v>
      </c>
      <c r="Z178" s="358">
        <v>15</v>
      </c>
    </row>
    <row r="179" spans="1:26" x14ac:dyDescent="0.2">
      <c r="A179" s="362" t="s">
        <v>33</v>
      </c>
      <c r="B179" s="370">
        <v>0</v>
      </c>
      <c r="C179" s="371">
        <v>0.01</v>
      </c>
      <c r="D179" s="371">
        <v>2.3E-2</v>
      </c>
      <c r="E179" s="371">
        <v>0.04</v>
      </c>
      <c r="F179" s="371">
        <v>0.11799999999999999</v>
      </c>
      <c r="G179" s="371">
        <v>0.28299999999999997</v>
      </c>
      <c r="H179" s="371">
        <v>0.51</v>
      </c>
      <c r="I179" s="371">
        <v>0.68799999999999994</v>
      </c>
      <c r="J179" s="371">
        <v>0.78700000000000003</v>
      </c>
      <c r="K179" s="371">
        <v>0.85199999999999998</v>
      </c>
      <c r="L179" s="371">
        <v>0.873</v>
      </c>
      <c r="M179" s="371">
        <v>0.873</v>
      </c>
      <c r="N179" s="371">
        <v>0.873</v>
      </c>
      <c r="O179" s="371">
        <v>0.873</v>
      </c>
      <c r="P179" s="371">
        <v>0.873</v>
      </c>
      <c r="Q179" s="371">
        <v>0.873</v>
      </c>
      <c r="R179" s="371">
        <v>0.873</v>
      </c>
      <c r="S179" s="371">
        <v>0.873</v>
      </c>
      <c r="T179" s="371">
        <v>0.873</v>
      </c>
      <c r="U179" s="371">
        <v>0.873</v>
      </c>
      <c r="V179" s="371">
        <v>0.873</v>
      </c>
      <c r="W179" s="371">
        <v>0.873</v>
      </c>
      <c r="X179" s="371">
        <v>2</v>
      </c>
      <c r="Y179" s="381">
        <v>1000</v>
      </c>
    </row>
    <row r="180" spans="1:26" x14ac:dyDescent="0.2">
      <c r="A180" s="378" t="s">
        <v>34</v>
      </c>
      <c r="B180" s="372">
        <v>0</v>
      </c>
      <c r="C180" s="376">
        <v>76.073999999999998</v>
      </c>
      <c r="D180" s="376">
        <v>100.185</v>
      </c>
      <c r="E180" s="376">
        <v>92.424999999999997</v>
      </c>
      <c r="F180" s="376">
        <v>100.878</v>
      </c>
      <c r="G180" s="376">
        <v>102.402</v>
      </c>
      <c r="H180" s="376">
        <v>96.442999999999998</v>
      </c>
      <c r="I180" s="376">
        <v>87.436000000000007</v>
      </c>
      <c r="J180" s="376">
        <v>25.911999999999999</v>
      </c>
      <c r="K180" s="376">
        <v>7.2060000000000004</v>
      </c>
      <c r="L180" s="373">
        <v>0</v>
      </c>
      <c r="M180" s="373">
        <v>0</v>
      </c>
      <c r="N180" s="373">
        <v>0</v>
      </c>
      <c r="O180" s="373">
        <v>0</v>
      </c>
      <c r="P180" s="373">
        <v>0</v>
      </c>
      <c r="Q180" s="373">
        <v>0</v>
      </c>
      <c r="R180" s="373">
        <v>0</v>
      </c>
      <c r="S180" s="373">
        <v>0</v>
      </c>
      <c r="T180" s="373">
        <v>0</v>
      </c>
      <c r="U180" s="373">
        <v>0</v>
      </c>
      <c r="V180" s="373">
        <v>0</v>
      </c>
      <c r="W180" s="373">
        <v>0</v>
      </c>
      <c r="X180" s="373">
        <v>0</v>
      </c>
      <c r="Y180" s="382">
        <v>0</v>
      </c>
    </row>
    <row r="181" spans="1:26" ht="13.5" thickBot="1" x14ac:dyDescent="0.25">
      <c r="A181" s="379" t="s">
        <v>119</v>
      </c>
      <c r="B181" s="374">
        <f t="shared" ref="B181:X181" si="40">(C180+B180)*(C179-B179)/2</f>
        <v>0.38036999999999999</v>
      </c>
      <c r="C181" s="375">
        <f t="shared" si="40"/>
        <v>1.1456835000000001</v>
      </c>
      <c r="D181" s="375">
        <f t="shared" si="40"/>
        <v>1.6371850000000003</v>
      </c>
      <c r="E181" s="375">
        <f t="shared" si="40"/>
        <v>7.5388169999999981</v>
      </c>
      <c r="F181" s="375">
        <f t="shared" si="40"/>
        <v>16.770599999999998</v>
      </c>
      <c r="G181" s="375">
        <f t="shared" si="40"/>
        <v>22.568907500000002</v>
      </c>
      <c r="H181" s="375">
        <f t="shared" si="40"/>
        <v>16.365230999999994</v>
      </c>
      <c r="I181" s="375">
        <f t="shared" si="40"/>
        <v>5.6107260000000059</v>
      </c>
      <c r="J181" s="375">
        <f t="shared" si="40"/>
        <v>1.0763349999999992</v>
      </c>
      <c r="K181" s="375">
        <f t="shared" si="40"/>
        <v>7.5663000000000077E-2</v>
      </c>
      <c r="L181" s="375">
        <f t="shared" si="40"/>
        <v>0</v>
      </c>
      <c r="M181" s="375">
        <f t="shared" si="40"/>
        <v>0</v>
      </c>
      <c r="N181" s="375">
        <f t="shared" si="40"/>
        <v>0</v>
      </c>
      <c r="O181" s="375">
        <f t="shared" si="40"/>
        <v>0</v>
      </c>
      <c r="P181" s="375">
        <f t="shared" si="40"/>
        <v>0</v>
      </c>
      <c r="Q181" s="375">
        <f t="shared" si="40"/>
        <v>0</v>
      </c>
      <c r="R181" s="375">
        <f t="shared" si="40"/>
        <v>0</v>
      </c>
      <c r="S181" s="375">
        <f t="shared" si="40"/>
        <v>0</v>
      </c>
      <c r="T181" s="375">
        <f t="shared" si="40"/>
        <v>0</v>
      </c>
      <c r="U181" s="375">
        <f t="shared" si="40"/>
        <v>0</v>
      </c>
      <c r="V181" s="375">
        <f t="shared" si="40"/>
        <v>0</v>
      </c>
      <c r="W181" s="375">
        <f t="shared" si="40"/>
        <v>0</v>
      </c>
      <c r="X181" s="375">
        <f t="shared" si="40"/>
        <v>0</v>
      </c>
      <c r="Y181" s="369"/>
    </row>
    <row r="182" spans="1:26" ht="13.5" thickBo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6" ht="13.5" thickBot="1" x14ac:dyDescent="0.25">
      <c r="A183" s="361" t="s">
        <v>330</v>
      </c>
      <c r="B183" s="359">
        <f>ROW(A183)</f>
        <v>183</v>
      </c>
      <c r="C183" s="363" t="s">
        <v>118</v>
      </c>
      <c r="D183" s="353">
        <f>SUM(B186:Y186)</f>
        <v>75.254384000000016</v>
      </c>
      <c r="E183" s="363" t="s">
        <v>117</v>
      </c>
      <c r="F183" s="354">
        <f>D183/g/J183</f>
        <v>232.46033422914161</v>
      </c>
      <c r="G183" s="363" t="s">
        <v>59</v>
      </c>
      <c r="H183" s="64">
        <v>9.5000000000000001E-2</v>
      </c>
      <c r="I183" s="363" t="s">
        <v>274</v>
      </c>
      <c r="J183" s="355">
        <f>H183-L183</f>
        <v>3.3000000000000002E-2</v>
      </c>
      <c r="K183" s="363" t="s">
        <v>275</v>
      </c>
      <c r="L183" s="64">
        <f>0.095-0.033</f>
        <v>6.2E-2</v>
      </c>
      <c r="M183" s="363" t="s">
        <v>60</v>
      </c>
      <c r="N183" s="396">
        <v>66.5</v>
      </c>
      <c r="O183" s="363" t="s">
        <v>62</v>
      </c>
      <c r="P183" s="396">
        <v>66.5</v>
      </c>
      <c r="Q183" s="363" t="s">
        <v>63</v>
      </c>
      <c r="R183" s="65">
        <v>133</v>
      </c>
      <c r="S183" s="363" t="s">
        <v>64</v>
      </c>
      <c r="T183" s="65">
        <v>24</v>
      </c>
      <c r="U183" s="363" t="s">
        <v>57</v>
      </c>
      <c r="V183" s="66" t="s">
        <v>403</v>
      </c>
      <c r="W183" s="463" t="s">
        <v>398</v>
      </c>
      <c r="X183" s="465">
        <v>1.5</v>
      </c>
      <c r="Y183" s="463" t="s">
        <v>397</v>
      </c>
      <c r="Z183" s="358">
        <v>12</v>
      </c>
    </row>
    <row r="184" spans="1:26" x14ac:dyDescent="0.2">
      <c r="A184" s="362" t="s">
        <v>33</v>
      </c>
      <c r="B184" s="370">
        <v>0</v>
      </c>
      <c r="C184" s="371">
        <v>0.02</v>
      </c>
      <c r="D184" s="371">
        <v>3.1E-2</v>
      </c>
      <c r="E184" s="371">
        <v>6.2E-2</v>
      </c>
      <c r="F184" s="371">
        <v>0.11700000000000001</v>
      </c>
      <c r="G184" s="371">
        <v>1.2110000000000001</v>
      </c>
      <c r="H184" s="371">
        <v>1.3759999999999999</v>
      </c>
      <c r="I184" s="371">
        <v>1.456</v>
      </c>
      <c r="J184" s="371">
        <v>1.532</v>
      </c>
      <c r="K184" s="371">
        <v>1.577</v>
      </c>
      <c r="L184" s="371">
        <v>2</v>
      </c>
      <c r="M184" s="371">
        <v>2</v>
      </c>
      <c r="N184" s="371">
        <v>2</v>
      </c>
      <c r="O184" s="371">
        <v>2</v>
      </c>
      <c r="P184" s="371">
        <v>2</v>
      </c>
      <c r="Q184" s="371">
        <v>2</v>
      </c>
      <c r="R184" s="371">
        <v>2</v>
      </c>
      <c r="S184" s="371">
        <v>2</v>
      </c>
      <c r="T184" s="371">
        <v>2</v>
      </c>
      <c r="U184" s="371">
        <v>2</v>
      </c>
      <c r="V184" s="371">
        <v>2</v>
      </c>
      <c r="W184" s="371">
        <v>2</v>
      </c>
      <c r="X184" s="371">
        <f t="shared" ref="T184:X185" si="41">W184</f>
        <v>2</v>
      </c>
      <c r="Y184" s="381">
        <v>1000</v>
      </c>
    </row>
    <row r="185" spans="1:26" x14ac:dyDescent="0.2">
      <c r="A185" s="378" t="s">
        <v>34</v>
      </c>
      <c r="B185" s="372">
        <v>0</v>
      </c>
      <c r="C185" s="373">
        <v>75.924000000000007</v>
      </c>
      <c r="D185" s="373">
        <v>84.147999999999996</v>
      </c>
      <c r="E185" s="373">
        <v>70.441000000000003</v>
      </c>
      <c r="F185" s="373">
        <v>73.659000000000006</v>
      </c>
      <c r="G185" s="373">
        <v>38.737000000000002</v>
      </c>
      <c r="H185" s="373">
        <v>14.779</v>
      </c>
      <c r="I185" s="373">
        <v>7.2709999999999999</v>
      </c>
      <c r="J185" s="373">
        <v>3.3370000000000002</v>
      </c>
      <c r="K185" s="373">
        <v>0</v>
      </c>
      <c r="L185" s="373">
        <v>0</v>
      </c>
      <c r="M185" s="373">
        <v>0</v>
      </c>
      <c r="N185" s="373">
        <v>0</v>
      </c>
      <c r="O185" s="373">
        <v>0</v>
      </c>
      <c r="P185" s="373">
        <v>0</v>
      </c>
      <c r="Q185" s="373">
        <v>0</v>
      </c>
      <c r="R185" s="373">
        <v>0</v>
      </c>
      <c r="S185" s="373">
        <v>0</v>
      </c>
      <c r="T185" s="373">
        <f t="shared" si="41"/>
        <v>0</v>
      </c>
      <c r="U185" s="373">
        <f t="shared" si="41"/>
        <v>0</v>
      </c>
      <c r="V185" s="373">
        <f t="shared" si="41"/>
        <v>0</v>
      </c>
      <c r="W185" s="373">
        <f t="shared" si="41"/>
        <v>0</v>
      </c>
      <c r="X185" s="373">
        <f t="shared" si="41"/>
        <v>0</v>
      </c>
      <c r="Y185" s="382">
        <v>0</v>
      </c>
    </row>
    <row r="186" spans="1:26" ht="13.5" thickBot="1" x14ac:dyDescent="0.25">
      <c r="A186" s="379" t="s">
        <v>119</v>
      </c>
      <c r="B186" s="374">
        <f t="shared" ref="B186:V186" si="42">(C185+B185)*(C184-B184)/2</f>
        <v>0.75924000000000014</v>
      </c>
      <c r="C186" s="375">
        <f t="shared" si="42"/>
        <v>0.88039599999999996</v>
      </c>
      <c r="D186" s="375">
        <f t="shared" si="42"/>
        <v>2.3961294999999998</v>
      </c>
      <c r="E186" s="375">
        <f t="shared" si="42"/>
        <v>3.9627500000000011</v>
      </c>
      <c r="F186" s="375">
        <f t="shared" si="42"/>
        <v>61.480612000000015</v>
      </c>
      <c r="G186" s="375">
        <f t="shared" si="42"/>
        <v>4.4150699999999956</v>
      </c>
      <c r="H186" s="375">
        <f t="shared" si="42"/>
        <v>0.88200000000000078</v>
      </c>
      <c r="I186" s="375">
        <f t="shared" si="42"/>
        <v>0.40310400000000035</v>
      </c>
      <c r="J186" s="375">
        <f>(K185+J185)*(K184-J184)/2</f>
        <v>7.5082499999999885E-2</v>
      </c>
      <c r="K186" s="375">
        <f t="shared" si="42"/>
        <v>0</v>
      </c>
      <c r="L186" s="375">
        <f t="shared" si="42"/>
        <v>0</v>
      </c>
      <c r="M186" s="375">
        <f t="shared" si="42"/>
        <v>0</v>
      </c>
      <c r="N186" s="375">
        <f t="shared" si="42"/>
        <v>0</v>
      </c>
      <c r="O186" s="375">
        <f t="shared" si="42"/>
        <v>0</v>
      </c>
      <c r="P186" s="375">
        <f t="shared" si="42"/>
        <v>0</v>
      </c>
      <c r="Q186" s="375">
        <f t="shared" si="42"/>
        <v>0</v>
      </c>
      <c r="R186" s="375">
        <f t="shared" si="42"/>
        <v>0</v>
      </c>
      <c r="S186" s="375">
        <f>(T185+S185)*(T184-S184)/2</f>
        <v>0</v>
      </c>
      <c r="T186" s="375">
        <f t="shared" si="42"/>
        <v>0</v>
      </c>
      <c r="U186" s="375">
        <f t="shared" si="42"/>
        <v>0</v>
      </c>
      <c r="V186" s="375">
        <f t="shared" si="42"/>
        <v>0</v>
      </c>
      <c r="W186" s="375">
        <f>(X185+W185)*(X184-W184)/2</f>
        <v>0</v>
      </c>
      <c r="X186" s="375">
        <f>(Y185+X185)*(Y184-X184)/2</f>
        <v>0</v>
      </c>
      <c r="Y186" s="369"/>
    </row>
    <row r="187" spans="1:26" ht="13.5" thickBot="1" x14ac:dyDescent="0.25">
      <c r="A187" s="6" t="s">
        <v>377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6" ht="13.5" thickBot="1" x14ac:dyDescent="0.25">
      <c r="A188" s="361" t="s">
        <v>540</v>
      </c>
      <c r="B188" s="359">
        <f>ROW(A188)</f>
        <v>188</v>
      </c>
      <c r="C188" s="363" t="s">
        <v>118</v>
      </c>
      <c r="D188" s="353">
        <f>SUM(B191:Y191)</f>
        <v>141.04999999999998</v>
      </c>
      <c r="E188" s="363" t="s">
        <v>117</v>
      </c>
      <c r="F188" s="354">
        <f>D188/g/J188</f>
        <v>186.24592648930721</v>
      </c>
      <c r="G188" s="363" t="s">
        <v>59</v>
      </c>
      <c r="H188" s="64">
        <v>0.16189999999999999</v>
      </c>
      <c r="I188" s="363" t="s">
        <v>274</v>
      </c>
      <c r="J188" s="355">
        <f>H188-L188</f>
        <v>7.7199999999999991E-2</v>
      </c>
      <c r="K188" s="363" t="s">
        <v>275</v>
      </c>
      <c r="L188" s="64">
        <v>8.4699999999999998E-2</v>
      </c>
      <c r="M188" s="363" t="s">
        <v>60</v>
      </c>
      <c r="N188" s="65">
        <v>114</v>
      </c>
      <c r="O188" s="363" t="s">
        <v>62</v>
      </c>
      <c r="P188" s="65">
        <v>114</v>
      </c>
      <c r="Q188" s="363" t="s">
        <v>63</v>
      </c>
      <c r="R188" s="65">
        <v>228</v>
      </c>
      <c r="S188" s="363" t="s">
        <v>64</v>
      </c>
      <c r="T188" s="65">
        <v>24</v>
      </c>
      <c r="U188" s="363" t="s">
        <v>57</v>
      </c>
      <c r="V188" s="66" t="s">
        <v>122</v>
      </c>
      <c r="W188" s="463" t="s">
        <v>398</v>
      </c>
      <c r="X188" s="465">
        <v>0.96</v>
      </c>
      <c r="Y188" s="463" t="s">
        <v>397</v>
      </c>
      <c r="Z188" s="358">
        <v>15</v>
      </c>
    </row>
    <row r="189" spans="1:26" x14ac:dyDescent="0.2">
      <c r="A189" s="362" t="s">
        <v>33</v>
      </c>
      <c r="B189" s="370">
        <v>0</v>
      </c>
      <c r="C189" s="371">
        <v>0.02</v>
      </c>
      <c r="D189" s="371">
        <v>0.03</v>
      </c>
      <c r="E189" s="371">
        <v>0.05</v>
      </c>
      <c r="F189" s="371">
        <v>0.6</v>
      </c>
      <c r="G189" s="371">
        <v>0.67</v>
      </c>
      <c r="H189" s="371">
        <v>0.7</v>
      </c>
      <c r="I189" s="371">
        <v>0.8</v>
      </c>
      <c r="J189" s="371">
        <v>0.9</v>
      </c>
      <c r="K189" s="371">
        <v>1.05</v>
      </c>
      <c r="L189" s="371">
        <f t="shared" ref="L189:W189" si="43">K189</f>
        <v>1.05</v>
      </c>
      <c r="M189" s="371">
        <f t="shared" si="43"/>
        <v>1.05</v>
      </c>
      <c r="N189" s="371">
        <f t="shared" si="43"/>
        <v>1.05</v>
      </c>
      <c r="O189" s="371">
        <f t="shared" si="43"/>
        <v>1.05</v>
      </c>
      <c r="P189" s="371">
        <f t="shared" si="43"/>
        <v>1.05</v>
      </c>
      <c r="Q189" s="371">
        <f t="shared" si="43"/>
        <v>1.05</v>
      </c>
      <c r="R189" s="371">
        <f t="shared" si="43"/>
        <v>1.05</v>
      </c>
      <c r="S189" s="371">
        <f t="shared" si="43"/>
        <v>1.05</v>
      </c>
      <c r="T189" s="371">
        <f t="shared" si="43"/>
        <v>1.05</v>
      </c>
      <c r="U189" s="371">
        <f t="shared" si="43"/>
        <v>1.05</v>
      </c>
      <c r="V189" s="371">
        <f t="shared" si="43"/>
        <v>1.05</v>
      </c>
      <c r="W189" s="371">
        <f t="shared" si="43"/>
        <v>1.05</v>
      </c>
      <c r="X189" s="371">
        <v>2</v>
      </c>
      <c r="Y189" s="381">
        <v>1000</v>
      </c>
    </row>
    <row r="190" spans="1:26" x14ac:dyDescent="0.2">
      <c r="A190" s="378" t="s">
        <v>34</v>
      </c>
      <c r="B190" s="372">
        <v>0</v>
      </c>
      <c r="C190" s="373">
        <v>350</v>
      </c>
      <c r="D190" s="373">
        <v>250</v>
      </c>
      <c r="E190" s="373">
        <v>210</v>
      </c>
      <c r="F190" s="373">
        <v>150</v>
      </c>
      <c r="G190" s="373">
        <v>140</v>
      </c>
      <c r="H190" s="373">
        <v>130</v>
      </c>
      <c r="I190" s="373">
        <v>65</v>
      </c>
      <c r="J190" s="373">
        <v>30</v>
      </c>
      <c r="K190" s="373">
        <v>0</v>
      </c>
      <c r="L190" s="373">
        <v>0</v>
      </c>
      <c r="M190" s="373">
        <v>0</v>
      </c>
      <c r="N190" s="373">
        <v>0</v>
      </c>
      <c r="O190" s="373">
        <v>0</v>
      </c>
      <c r="P190" s="373">
        <v>0</v>
      </c>
      <c r="Q190" s="373">
        <v>0</v>
      </c>
      <c r="R190" s="373">
        <v>0</v>
      </c>
      <c r="S190" s="373">
        <f t="shared" ref="S190:X190" si="44">R190</f>
        <v>0</v>
      </c>
      <c r="T190" s="373">
        <f t="shared" si="44"/>
        <v>0</v>
      </c>
      <c r="U190" s="373">
        <f t="shared" si="44"/>
        <v>0</v>
      </c>
      <c r="V190" s="373">
        <f t="shared" si="44"/>
        <v>0</v>
      </c>
      <c r="W190" s="373">
        <f t="shared" si="44"/>
        <v>0</v>
      </c>
      <c r="X190" s="373">
        <f t="shared" si="44"/>
        <v>0</v>
      </c>
      <c r="Y190" s="382">
        <v>0</v>
      </c>
    </row>
    <row r="191" spans="1:26" ht="13.5" thickBot="1" x14ac:dyDescent="0.25">
      <c r="A191" s="379" t="s">
        <v>119</v>
      </c>
      <c r="B191" s="374">
        <f t="shared" ref="B191:X191" si="45">(C190+B190)*(C189-B189)/2</f>
        <v>3.5</v>
      </c>
      <c r="C191" s="375">
        <f t="shared" si="45"/>
        <v>2.9999999999999996</v>
      </c>
      <c r="D191" s="375">
        <f t="shared" si="45"/>
        <v>4.6000000000000005</v>
      </c>
      <c r="E191" s="375">
        <f t="shared" si="45"/>
        <v>98.999999999999986</v>
      </c>
      <c r="F191" s="375">
        <f t="shared" si="45"/>
        <v>10.150000000000009</v>
      </c>
      <c r="G191" s="375">
        <f t="shared" si="45"/>
        <v>4.0499999999999883</v>
      </c>
      <c r="H191" s="375">
        <f t="shared" si="45"/>
        <v>9.7500000000000089</v>
      </c>
      <c r="I191" s="375">
        <f t="shared" si="45"/>
        <v>4.7499999999999991</v>
      </c>
      <c r="J191" s="375">
        <f t="shared" si="45"/>
        <v>2.2500000000000004</v>
      </c>
      <c r="K191" s="375">
        <f t="shared" si="45"/>
        <v>0</v>
      </c>
      <c r="L191" s="375">
        <f t="shared" si="45"/>
        <v>0</v>
      </c>
      <c r="M191" s="375">
        <f t="shared" si="45"/>
        <v>0</v>
      </c>
      <c r="N191" s="375">
        <f t="shared" si="45"/>
        <v>0</v>
      </c>
      <c r="O191" s="375">
        <f t="shared" si="45"/>
        <v>0</v>
      </c>
      <c r="P191" s="375">
        <f t="shared" si="45"/>
        <v>0</v>
      </c>
      <c r="Q191" s="375">
        <f t="shared" si="45"/>
        <v>0</v>
      </c>
      <c r="R191" s="375">
        <f t="shared" si="45"/>
        <v>0</v>
      </c>
      <c r="S191" s="375">
        <f t="shared" si="45"/>
        <v>0</v>
      </c>
      <c r="T191" s="375">
        <f t="shared" si="45"/>
        <v>0</v>
      </c>
      <c r="U191" s="375">
        <f t="shared" si="45"/>
        <v>0</v>
      </c>
      <c r="V191" s="375">
        <f t="shared" si="45"/>
        <v>0</v>
      </c>
      <c r="W191" s="375">
        <f t="shared" si="45"/>
        <v>0</v>
      </c>
      <c r="X191" s="375">
        <f t="shared" si="45"/>
        <v>0</v>
      </c>
      <c r="Y191" s="369"/>
    </row>
    <row r="192" spans="1:26" ht="13.5" thickBot="1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6" ht="13.5" thickBot="1" x14ac:dyDescent="0.25">
      <c r="A193" s="361" t="s">
        <v>547</v>
      </c>
      <c r="B193" s="359">
        <f>ROW(A193)</f>
        <v>193</v>
      </c>
      <c r="C193" s="363" t="s">
        <v>118</v>
      </c>
      <c r="D193" s="353">
        <f>SUM(B196:Y196)</f>
        <v>142.44</v>
      </c>
      <c r="E193" s="363" t="s">
        <v>117</v>
      </c>
      <c r="F193" s="354">
        <f>D193/g/J193</f>
        <v>192.06187401906058</v>
      </c>
      <c r="G193" s="363" t="s">
        <v>59</v>
      </c>
      <c r="H193" s="64">
        <v>0.15989999999999999</v>
      </c>
      <c r="I193" s="363" t="s">
        <v>274</v>
      </c>
      <c r="J193" s="355">
        <f>H193-L193</f>
        <v>7.5599999999999987E-2</v>
      </c>
      <c r="K193" s="363" t="s">
        <v>275</v>
      </c>
      <c r="L193" s="64">
        <v>8.43E-2</v>
      </c>
      <c r="M193" s="363" t="s">
        <v>60</v>
      </c>
      <c r="N193" s="65">
        <v>114</v>
      </c>
      <c r="O193" s="363" t="s">
        <v>62</v>
      </c>
      <c r="P193" s="65">
        <v>114</v>
      </c>
      <c r="Q193" s="363" t="s">
        <v>63</v>
      </c>
      <c r="R193" s="65">
        <v>228</v>
      </c>
      <c r="S193" s="363" t="s">
        <v>64</v>
      </c>
      <c r="T193" s="65">
        <v>24</v>
      </c>
      <c r="U193" s="363" t="s">
        <v>57</v>
      </c>
      <c r="V193" s="66" t="s">
        <v>405</v>
      </c>
      <c r="W193" s="463" t="s">
        <v>398</v>
      </c>
      <c r="X193" s="465">
        <v>0.97</v>
      </c>
      <c r="Y193" s="463" t="s">
        <v>397</v>
      </c>
      <c r="Z193" s="358">
        <v>13</v>
      </c>
    </row>
    <row r="194" spans="1:26" x14ac:dyDescent="0.2">
      <c r="A194" s="362" t="s">
        <v>33</v>
      </c>
      <c r="B194" s="370">
        <v>0</v>
      </c>
      <c r="C194" s="371">
        <v>0.02</v>
      </c>
      <c r="D194" s="371">
        <v>0.04</v>
      </c>
      <c r="E194" s="371">
        <v>0.62</v>
      </c>
      <c r="F194" s="371">
        <v>0.66</v>
      </c>
      <c r="G194" s="371">
        <v>0.68</v>
      </c>
      <c r="H194" s="371">
        <v>0.8</v>
      </c>
      <c r="I194" s="371">
        <v>0.84</v>
      </c>
      <c r="J194" s="371">
        <v>0.88</v>
      </c>
      <c r="K194" s="371">
        <v>0.92</v>
      </c>
      <c r="L194" s="371">
        <v>0.96</v>
      </c>
      <c r="M194" s="371">
        <v>1</v>
      </c>
      <c r="N194" s="371">
        <v>1.08</v>
      </c>
      <c r="O194" s="371">
        <v>2</v>
      </c>
      <c r="P194" s="371">
        <v>2</v>
      </c>
      <c r="Q194" s="371">
        <v>2</v>
      </c>
      <c r="R194" s="371">
        <v>2</v>
      </c>
      <c r="S194" s="371">
        <f t="shared" ref="S194:X195" si="46">R194</f>
        <v>2</v>
      </c>
      <c r="T194" s="371">
        <f t="shared" si="46"/>
        <v>2</v>
      </c>
      <c r="U194" s="371">
        <f t="shared" si="46"/>
        <v>2</v>
      </c>
      <c r="V194" s="371">
        <f t="shared" si="46"/>
        <v>2</v>
      </c>
      <c r="W194" s="371">
        <f t="shared" si="46"/>
        <v>2</v>
      </c>
      <c r="X194" s="371">
        <f t="shared" si="46"/>
        <v>2</v>
      </c>
      <c r="Y194" s="381">
        <v>1000</v>
      </c>
    </row>
    <row r="195" spans="1:26" x14ac:dyDescent="0.2">
      <c r="A195" s="378" t="s">
        <v>34</v>
      </c>
      <c r="B195" s="372">
        <v>0</v>
      </c>
      <c r="C195" s="373">
        <v>250</v>
      </c>
      <c r="D195" s="373">
        <v>210</v>
      </c>
      <c r="E195" s="373">
        <v>160</v>
      </c>
      <c r="F195" s="373">
        <v>150</v>
      </c>
      <c r="G195" s="373">
        <v>142</v>
      </c>
      <c r="H195" s="373">
        <v>62</v>
      </c>
      <c r="I195" s="373">
        <v>48</v>
      </c>
      <c r="J195" s="373">
        <v>34</v>
      </c>
      <c r="K195" s="373">
        <v>24</v>
      </c>
      <c r="L195" s="373">
        <v>15</v>
      </c>
      <c r="M195" s="373">
        <v>10</v>
      </c>
      <c r="N195" s="373">
        <v>0</v>
      </c>
      <c r="O195" s="373">
        <v>0</v>
      </c>
      <c r="P195" s="373">
        <v>0</v>
      </c>
      <c r="Q195" s="373">
        <v>0</v>
      </c>
      <c r="R195" s="373">
        <v>0</v>
      </c>
      <c r="S195" s="373">
        <f t="shared" si="46"/>
        <v>0</v>
      </c>
      <c r="T195" s="373">
        <f t="shared" si="46"/>
        <v>0</v>
      </c>
      <c r="U195" s="373">
        <f t="shared" si="46"/>
        <v>0</v>
      </c>
      <c r="V195" s="373">
        <f t="shared" si="46"/>
        <v>0</v>
      </c>
      <c r="W195" s="373">
        <f t="shared" si="46"/>
        <v>0</v>
      </c>
      <c r="X195" s="373">
        <f t="shared" si="46"/>
        <v>0</v>
      </c>
      <c r="Y195" s="382">
        <v>0</v>
      </c>
    </row>
    <row r="196" spans="1:26" ht="13.5" thickBot="1" x14ac:dyDescent="0.25">
      <c r="A196" s="379" t="s">
        <v>119</v>
      </c>
      <c r="B196" s="374">
        <f t="shared" ref="B196:X196" si="47">(C195+B195)*(C194-B194)/2</f>
        <v>2.5</v>
      </c>
      <c r="C196" s="375">
        <f t="shared" si="47"/>
        <v>4.6000000000000005</v>
      </c>
      <c r="D196" s="375">
        <f t="shared" si="47"/>
        <v>107.3</v>
      </c>
      <c r="E196" s="375">
        <f t="shared" si="47"/>
        <v>6.2000000000000055</v>
      </c>
      <c r="F196" s="375">
        <f t="shared" si="47"/>
        <v>2.9200000000000026</v>
      </c>
      <c r="G196" s="375">
        <f t="shared" si="47"/>
        <v>12.24</v>
      </c>
      <c r="H196" s="375">
        <f t="shared" si="47"/>
        <v>2.1999999999999957</v>
      </c>
      <c r="I196" s="375">
        <f t="shared" si="47"/>
        <v>1.6400000000000015</v>
      </c>
      <c r="J196" s="375">
        <f t="shared" si="47"/>
        <v>1.160000000000001</v>
      </c>
      <c r="K196" s="375">
        <f t="shared" si="47"/>
        <v>0.77999999999999847</v>
      </c>
      <c r="L196" s="375">
        <f t="shared" si="47"/>
        <v>0.50000000000000044</v>
      </c>
      <c r="M196" s="375">
        <f t="shared" si="47"/>
        <v>0.40000000000000036</v>
      </c>
      <c r="N196" s="375">
        <f t="shared" si="47"/>
        <v>0</v>
      </c>
      <c r="O196" s="375">
        <f t="shared" si="47"/>
        <v>0</v>
      </c>
      <c r="P196" s="375">
        <f t="shared" si="47"/>
        <v>0</v>
      </c>
      <c r="Q196" s="375">
        <f t="shared" si="47"/>
        <v>0</v>
      </c>
      <c r="R196" s="375">
        <f t="shared" si="47"/>
        <v>0</v>
      </c>
      <c r="S196" s="375">
        <f t="shared" si="47"/>
        <v>0</v>
      </c>
      <c r="T196" s="375">
        <f t="shared" si="47"/>
        <v>0</v>
      </c>
      <c r="U196" s="375">
        <f t="shared" si="47"/>
        <v>0</v>
      </c>
      <c r="V196" s="375">
        <f t="shared" si="47"/>
        <v>0</v>
      </c>
      <c r="W196" s="375">
        <f t="shared" si="47"/>
        <v>0</v>
      </c>
      <c r="X196" s="375">
        <f t="shared" si="47"/>
        <v>0</v>
      </c>
      <c r="Y196" s="369"/>
    </row>
    <row r="197" spans="1:26" ht="13.5" thickBot="1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6" ht="13.5" thickBot="1" x14ac:dyDescent="0.25">
      <c r="A198" s="361" t="s">
        <v>542</v>
      </c>
      <c r="B198" s="359">
        <f>ROW(A198)</f>
        <v>198</v>
      </c>
      <c r="C198" s="363" t="s">
        <v>118</v>
      </c>
      <c r="D198" s="353">
        <f>SUM(B201:Y201)</f>
        <v>143.08845000000002</v>
      </c>
      <c r="E198" s="363" t="s">
        <v>117</v>
      </c>
      <c r="F198" s="354">
        <f>D198/g/J198</f>
        <v>168.23504721190514</v>
      </c>
      <c r="G198" s="363" t="s">
        <v>59</v>
      </c>
      <c r="H198" s="64">
        <v>0.17249999999999999</v>
      </c>
      <c r="I198" s="363" t="s">
        <v>274</v>
      </c>
      <c r="J198" s="355">
        <f>H198-L198</f>
        <v>8.6699999999999985E-2</v>
      </c>
      <c r="K198" s="363" t="s">
        <v>275</v>
      </c>
      <c r="L198" s="64">
        <v>8.5800000000000001E-2</v>
      </c>
      <c r="M198" s="363" t="s">
        <v>60</v>
      </c>
      <c r="N198" s="65">
        <v>114</v>
      </c>
      <c r="O198" s="363" t="s">
        <v>62</v>
      </c>
      <c r="P198" s="65">
        <v>114</v>
      </c>
      <c r="Q198" s="363" t="s">
        <v>63</v>
      </c>
      <c r="R198" s="65">
        <v>228</v>
      </c>
      <c r="S198" s="363" t="s">
        <v>64</v>
      </c>
      <c r="T198" s="65">
        <v>24</v>
      </c>
      <c r="U198" s="363" t="s">
        <v>57</v>
      </c>
      <c r="V198" s="66" t="s">
        <v>122</v>
      </c>
      <c r="W198" s="463" t="s">
        <v>398</v>
      </c>
      <c r="X198" s="465">
        <v>0.97</v>
      </c>
      <c r="Y198" s="463" t="s">
        <v>397</v>
      </c>
      <c r="Z198" s="358">
        <v>11</v>
      </c>
    </row>
    <row r="199" spans="1:26" x14ac:dyDescent="0.2">
      <c r="A199" s="362" t="s">
        <v>33</v>
      </c>
      <c r="B199" s="370">
        <v>0</v>
      </c>
      <c r="C199" s="371">
        <v>8.0000000000000002E-3</v>
      </c>
      <c r="D199" s="371">
        <v>1.2999999999999999E-2</v>
      </c>
      <c r="E199" s="371">
        <v>2.1999999999999999E-2</v>
      </c>
      <c r="F199" s="371">
        <v>3.5000000000000003E-2</v>
      </c>
      <c r="G199" s="371">
        <v>6.3E-2</v>
      </c>
      <c r="H199" s="371">
        <v>0.10299999999999999</v>
      </c>
      <c r="I199" s="371">
        <v>0.19600000000000001</v>
      </c>
      <c r="J199" s="371">
        <v>0.311</v>
      </c>
      <c r="K199" s="371">
        <v>0.47399999999999998</v>
      </c>
      <c r="L199" s="371">
        <v>0.56399999999999995</v>
      </c>
      <c r="M199" s="371">
        <v>0.76200000000000001</v>
      </c>
      <c r="N199" s="371">
        <v>0.85799999999999998</v>
      </c>
      <c r="O199" s="371">
        <v>0.92800000000000005</v>
      </c>
      <c r="P199" s="371">
        <v>1.038</v>
      </c>
      <c r="Q199" s="371">
        <v>1.08</v>
      </c>
      <c r="R199" s="371">
        <v>1.131</v>
      </c>
      <c r="S199" s="371">
        <v>1.1850000000000001</v>
      </c>
      <c r="T199" s="371">
        <v>1.224</v>
      </c>
      <c r="U199" s="371">
        <v>1.258</v>
      </c>
      <c r="V199" s="371">
        <v>1.4</v>
      </c>
      <c r="W199" s="371">
        <v>1.4410000000000001</v>
      </c>
      <c r="X199" s="371">
        <v>2</v>
      </c>
      <c r="Y199" s="381">
        <v>1000</v>
      </c>
    </row>
    <row r="200" spans="1:26" x14ac:dyDescent="0.2">
      <c r="A200" s="378" t="s">
        <v>34</v>
      </c>
      <c r="B200" s="372">
        <v>0</v>
      </c>
      <c r="C200" s="373">
        <v>168.643</v>
      </c>
      <c r="D200" s="373">
        <v>177.339</v>
      </c>
      <c r="E200" s="373">
        <v>177.86600000000001</v>
      </c>
      <c r="F200" s="373">
        <v>171.27799999999999</v>
      </c>
      <c r="G200" s="373">
        <v>157.839</v>
      </c>
      <c r="H200" s="373">
        <v>154.941</v>
      </c>
      <c r="I200" s="373">
        <v>148.88</v>
      </c>
      <c r="J200" s="373">
        <v>144.137</v>
      </c>
      <c r="K200" s="373">
        <v>138.07599999999999</v>
      </c>
      <c r="L200" s="373">
        <v>135.70500000000001</v>
      </c>
      <c r="M200" s="373">
        <v>125.955</v>
      </c>
      <c r="N200" s="373">
        <v>116.733</v>
      </c>
      <c r="O200" s="373">
        <v>101.71299999999999</v>
      </c>
      <c r="P200" s="373">
        <v>57.444000000000003</v>
      </c>
      <c r="Q200" s="373">
        <v>42.688000000000002</v>
      </c>
      <c r="R200" s="373">
        <v>31.884</v>
      </c>
      <c r="S200" s="373">
        <v>17.655000000000001</v>
      </c>
      <c r="T200" s="373">
        <v>9.4860000000000007</v>
      </c>
      <c r="U200" s="373">
        <v>5.27</v>
      </c>
      <c r="V200" s="373">
        <v>0.79100000000000004</v>
      </c>
      <c r="W200" s="373">
        <v>0</v>
      </c>
      <c r="X200" s="373">
        <f>W200</f>
        <v>0</v>
      </c>
      <c r="Y200" s="382">
        <v>0</v>
      </c>
    </row>
    <row r="201" spans="1:26" ht="13.5" thickBot="1" x14ac:dyDescent="0.25">
      <c r="A201" s="379" t="s">
        <v>119</v>
      </c>
      <c r="B201" s="374">
        <f t="shared" ref="B201:X201" si="48">(C200+B200)*(C199-B199)/2</f>
        <v>0.67457200000000006</v>
      </c>
      <c r="C201" s="375">
        <f t="shared" si="48"/>
        <v>0.86495499999999981</v>
      </c>
      <c r="D201" s="375">
        <f t="shared" si="48"/>
        <v>1.5984225000000001</v>
      </c>
      <c r="E201" s="375">
        <f t="shared" si="48"/>
        <v>2.2694360000000007</v>
      </c>
      <c r="F201" s="375">
        <f t="shared" si="48"/>
        <v>4.6076379999999988</v>
      </c>
      <c r="G201" s="375">
        <f t="shared" si="48"/>
        <v>6.2555999999999985</v>
      </c>
      <c r="H201" s="375">
        <f t="shared" si="48"/>
        <v>14.127676500000003</v>
      </c>
      <c r="I201" s="375">
        <f t="shared" si="48"/>
        <v>16.848477499999998</v>
      </c>
      <c r="J201" s="375">
        <f t="shared" si="48"/>
        <v>23.000359499999995</v>
      </c>
      <c r="K201" s="375">
        <f t="shared" si="48"/>
        <v>12.320144999999997</v>
      </c>
      <c r="L201" s="375">
        <f t="shared" si="48"/>
        <v>25.904340000000012</v>
      </c>
      <c r="M201" s="375">
        <f t="shared" si="48"/>
        <v>11.649023999999997</v>
      </c>
      <c r="N201" s="375">
        <f t="shared" si="48"/>
        <v>7.6456100000000067</v>
      </c>
      <c r="O201" s="375">
        <f t="shared" si="48"/>
        <v>8.7536349999999974</v>
      </c>
      <c r="P201" s="375">
        <f t="shared" si="48"/>
        <v>2.1027720000000021</v>
      </c>
      <c r="Q201" s="375">
        <f t="shared" si="48"/>
        <v>1.9015859999999976</v>
      </c>
      <c r="R201" s="375">
        <f t="shared" si="48"/>
        <v>1.3375530000000013</v>
      </c>
      <c r="S201" s="375">
        <f t="shared" si="48"/>
        <v>0.52924949999999904</v>
      </c>
      <c r="T201" s="375">
        <f t="shared" si="48"/>
        <v>0.25085200000000024</v>
      </c>
      <c r="U201" s="375">
        <f t="shared" si="48"/>
        <v>0.43033099999999969</v>
      </c>
      <c r="V201" s="375">
        <f t="shared" si="48"/>
        <v>1.621550000000006E-2</v>
      </c>
      <c r="W201" s="375">
        <f t="shared" si="48"/>
        <v>0</v>
      </c>
      <c r="X201" s="375">
        <f t="shared" si="48"/>
        <v>0</v>
      </c>
      <c r="Y201" s="369"/>
    </row>
    <row r="202" spans="1:26" ht="13.5" thickBo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6" ht="13.5" thickBot="1" x14ac:dyDescent="0.25">
      <c r="A203" s="361" t="s">
        <v>541</v>
      </c>
      <c r="B203" s="359">
        <f>ROW(A203)</f>
        <v>203</v>
      </c>
      <c r="C203" s="363" t="s">
        <v>118</v>
      </c>
      <c r="D203" s="353">
        <f>SUM(B206:Y206)</f>
        <v>139.423417</v>
      </c>
      <c r="E203" s="363" t="s">
        <v>117</v>
      </c>
      <c r="F203" s="354">
        <f>D203/g/J203</f>
        <v>158.62027745922524</v>
      </c>
      <c r="G203" s="363" t="s">
        <v>59</v>
      </c>
      <c r="H203" s="64">
        <v>0.19450000000000001</v>
      </c>
      <c r="I203" s="363" t="s">
        <v>274</v>
      </c>
      <c r="J203" s="355">
        <f>H203-L203</f>
        <v>8.9600000000000013E-2</v>
      </c>
      <c r="K203" s="363" t="s">
        <v>275</v>
      </c>
      <c r="L203" s="64">
        <v>0.10489999999999999</v>
      </c>
      <c r="M203" s="363" t="s">
        <v>60</v>
      </c>
      <c r="N203" s="65">
        <v>114</v>
      </c>
      <c r="O203" s="363" t="s">
        <v>62</v>
      </c>
      <c r="P203" s="65">
        <v>144</v>
      </c>
      <c r="Q203" s="363" t="s">
        <v>63</v>
      </c>
      <c r="R203" s="65">
        <v>228</v>
      </c>
      <c r="S203" s="363" t="s">
        <v>64</v>
      </c>
      <c r="T203" s="65">
        <v>24</v>
      </c>
      <c r="U203" s="363" t="s">
        <v>57</v>
      </c>
      <c r="V203" s="66" t="s">
        <v>122</v>
      </c>
      <c r="W203" s="463" t="s">
        <v>398</v>
      </c>
      <c r="X203" s="465">
        <v>1.3</v>
      </c>
      <c r="Y203" s="463" t="s">
        <v>397</v>
      </c>
      <c r="Z203" s="358">
        <v>12</v>
      </c>
    </row>
    <row r="204" spans="1:26" x14ac:dyDescent="0.2">
      <c r="A204" s="362" t="s">
        <v>33</v>
      </c>
      <c r="B204" s="370">
        <v>0</v>
      </c>
      <c r="C204" s="371">
        <v>1.0999999999999999E-2</v>
      </c>
      <c r="D204" s="371">
        <v>2.1999999999999999E-2</v>
      </c>
      <c r="E204" s="371">
        <v>4.5999999999999999E-2</v>
      </c>
      <c r="F204" s="371">
        <v>8.1000000000000003E-2</v>
      </c>
      <c r="G204" s="371">
        <v>0.219</v>
      </c>
      <c r="H204" s="371">
        <v>0.253</v>
      </c>
      <c r="I204" s="371">
        <v>0.27400000000000002</v>
      </c>
      <c r="J204" s="371">
        <v>0.30499999999999999</v>
      </c>
      <c r="K204" s="371">
        <v>0.41199999999999998</v>
      </c>
      <c r="L204" s="371">
        <v>0.78900000000000003</v>
      </c>
      <c r="M204" s="371">
        <v>0.89900000000000002</v>
      </c>
      <c r="N204" s="371">
        <v>0.95299999999999996</v>
      </c>
      <c r="O204" s="371">
        <v>0.999</v>
      </c>
      <c r="P204" s="371">
        <v>1.03</v>
      </c>
      <c r="Q204" s="371">
        <v>1.0569999999999999</v>
      </c>
      <c r="R204" s="371">
        <v>1.1020000000000001</v>
      </c>
      <c r="S204" s="371">
        <v>1.1539999999999999</v>
      </c>
      <c r="T204" s="371">
        <v>1.1970000000000001</v>
      </c>
      <c r="U204" s="371">
        <v>1.2769999999999999</v>
      </c>
      <c r="V204" s="371">
        <v>1.335</v>
      </c>
      <c r="W204" s="371">
        <v>1.4510000000000001</v>
      </c>
      <c r="X204" s="371">
        <v>2</v>
      </c>
      <c r="Y204" s="381">
        <v>1000</v>
      </c>
    </row>
    <row r="205" spans="1:26" x14ac:dyDescent="0.2">
      <c r="A205" s="378" t="s">
        <v>34</v>
      </c>
      <c r="B205" s="372">
        <v>0</v>
      </c>
      <c r="C205" s="373">
        <v>198.41800000000001</v>
      </c>
      <c r="D205" s="373">
        <v>221.83500000000001</v>
      </c>
      <c r="E205" s="373">
        <v>212.65799999999999</v>
      </c>
      <c r="F205" s="373">
        <v>218.35400000000001</v>
      </c>
      <c r="G205" s="373">
        <v>204.43</v>
      </c>
      <c r="H205" s="373">
        <v>195.886</v>
      </c>
      <c r="I205" s="373">
        <v>183.54400000000001</v>
      </c>
      <c r="J205" s="373">
        <v>88.290999999999997</v>
      </c>
      <c r="K205" s="373">
        <v>93.671000000000006</v>
      </c>
      <c r="L205" s="373">
        <v>93.986999999999995</v>
      </c>
      <c r="M205" s="373">
        <v>91.138999999999996</v>
      </c>
      <c r="N205" s="373">
        <v>89.873000000000005</v>
      </c>
      <c r="O205" s="373">
        <v>87.025000000000006</v>
      </c>
      <c r="P205" s="373">
        <v>81.328999999999994</v>
      </c>
      <c r="Q205" s="373">
        <v>69.936999999999998</v>
      </c>
      <c r="R205" s="373">
        <v>54.113999999999997</v>
      </c>
      <c r="S205" s="373">
        <v>42.405000000000001</v>
      </c>
      <c r="T205" s="373">
        <v>31.646000000000001</v>
      </c>
      <c r="U205" s="373">
        <v>17.088999999999999</v>
      </c>
      <c r="V205" s="373">
        <v>9.81</v>
      </c>
      <c r="W205" s="373">
        <v>0</v>
      </c>
      <c r="X205" s="373">
        <v>0</v>
      </c>
      <c r="Y205" s="382">
        <v>0</v>
      </c>
    </row>
    <row r="206" spans="1:26" ht="13.5" thickBot="1" x14ac:dyDescent="0.25">
      <c r="A206" s="379" t="s">
        <v>119</v>
      </c>
      <c r="B206" s="374">
        <f t="shared" ref="B206:X206" si="49">(C205+B205)*(C204-B204)/2</f>
        <v>1.091299</v>
      </c>
      <c r="C206" s="375">
        <f t="shared" si="49"/>
        <v>2.3113915</v>
      </c>
      <c r="D206" s="375">
        <f t="shared" si="49"/>
        <v>5.2139160000000002</v>
      </c>
      <c r="E206" s="375">
        <f t="shared" si="49"/>
        <v>7.5427100000000005</v>
      </c>
      <c r="F206" s="375">
        <f t="shared" si="49"/>
        <v>29.172096000000003</v>
      </c>
      <c r="G206" s="375">
        <f t="shared" si="49"/>
        <v>6.8053720000000011</v>
      </c>
      <c r="H206" s="375">
        <f t="shared" si="49"/>
        <v>3.9840150000000034</v>
      </c>
      <c r="I206" s="375">
        <f t="shared" si="49"/>
        <v>4.2134424999999966</v>
      </c>
      <c r="J206" s="375">
        <f t="shared" si="49"/>
        <v>9.7349669999999975</v>
      </c>
      <c r="K206" s="375">
        <f t="shared" si="49"/>
        <v>35.373533000000009</v>
      </c>
      <c r="L206" s="375">
        <f t="shared" si="49"/>
        <v>10.181929999999998</v>
      </c>
      <c r="M206" s="375">
        <f t="shared" si="49"/>
        <v>4.8873239999999942</v>
      </c>
      <c r="N206" s="375">
        <f t="shared" si="49"/>
        <v>4.068654000000004</v>
      </c>
      <c r="O206" s="375">
        <f t="shared" si="49"/>
        <v>2.6094870000000019</v>
      </c>
      <c r="P206" s="375">
        <f t="shared" si="49"/>
        <v>2.0420909999999934</v>
      </c>
      <c r="Q206" s="375">
        <f t="shared" si="49"/>
        <v>2.791147500000009</v>
      </c>
      <c r="R206" s="375">
        <f t="shared" si="49"/>
        <v>2.5094939999999917</v>
      </c>
      <c r="S206" s="375">
        <f t="shared" si="49"/>
        <v>1.5920965000000056</v>
      </c>
      <c r="T206" s="375">
        <f t="shared" si="49"/>
        <v>1.9493999999999962</v>
      </c>
      <c r="U206" s="375">
        <f t="shared" si="49"/>
        <v>0.78007100000000074</v>
      </c>
      <c r="V206" s="375">
        <f t="shared" si="49"/>
        <v>0.56898000000000049</v>
      </c>
      <c r="W206" s="375">
        <f t="shared" si="49"/>
        <v>0</v>
      </c>
      <c r="X206" s="375">
        <f t="shared" si="49"/>
        <v>0</v>
      </c>
      <c r="Y206" s="369"/>
    </row>
    <row r="207" spans="1:26" ht="13.5" thickBot="1" x14ac:dyDescent="0.25">
      <c r="A207" s="6" t="s">
        <v>319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6" ht="13.5" thickBot="1" x14ac:dyDescent="0.25">
      <c r="A208" s="361" t="s">
        <v>379</v>
      </c>
      <c r="B208" s="359">
        <f>ROW(A208)</f>
        <v>208</v>
      </c>
      <c r="C208" s="363" t="s">
        <v>118</v>
      </c>
      <c r="D208" s="353">
        <f>SUM(B211:Y211)</f>
        <v>82.798500000000018</v>
      </c>
      <c r="E208" s="363" t="s">
        <v>117</v>
      </c>
      <c r="F208" s="354">
        <f>D208/g/J208</f>
        <v>131.87834480122325</v>
      </c>
      <c r="G208" s="363" t="s">
        <v>59</v>
      </c>
      <c r="H208" s="64">
        <v>0.152</v>
      </c>
      <c r="I208" s="363" t="s">
        <v>274</v>
      </c>
      <c r="J208" s="355">
        <f>H208-L208</f>
        <v>6.4000000000000001E-2</v>
      </c>
      <c r="K208" s="363" t="s">
        <v>275</v>
      </c>
      <c r="L208" s="64">
        <v>8.7999999999999995E-2</v>
      </c>
      <c r="M208" s="363" t="s">
        <v>60</v>
      </c>
      <c r="N208" s="65">
        <v>71</v>
      </c>
      <c r="O208" s="363" t="s">
        <v>62</v>
      </c>
      <c r="P208" s="65">
        <v>71</v>
      </c>
      <c r="Q208" s="363" t="s">
        <v>63</v>
      </c>
      <c r="R208" s="65">
        <v>142</v>
      </c>
      <c r="S208" s="363" t="s">
        <v>64</v>
      </c>
      <c r="T208" s="65">
        <v>29</v>
      </c>
      <c r="U208" s="363" t="s">
        <v>57</v>
      </c>
      <c r="V208" s="66" t="s">
        <v>122</v>
      </c>
      <c r="W208" s="463" t="s">
        <v>398</v>
      </c>
      <c r="X208" s="465">
        <v>0.96</v>
      </c>
      <c r="Y208" s="463" t="s">
        <v>397</v>
      </c>
      <c r="Z208" s="358">
        <v>11</v>
      </c>
    </row>
    <row r="209" spans="1:26" x14ac:dyDescent="0.2">
      <c r="A209" s="362" t="s">
        <v>33</v>
      </c>
      <c r="B209" s="370">
        <v>0</v>
      </c>
      <c r="C209" s="371">
        <v>0.02</v>
      </c>
      <c r="D209" s="371">
        <v>0.03</v>
      </c>
      <c r="E209" s="371">
        <v>0.04</v>
      </c>
      <c r="F209" s="371">
        <v>0.06</v>
      </c>
      <c r="G209" s="371">
        <v>0.08</v>
      </c>
      <c r="H209" s="371">
        <v>0.15</v>
      </c>
      <c r="I209" s="371">
        <v>0.18</v>
      </c>
      <c r="J209" s="371">
        <v>0.2</v>
      </c>
      <c r="K209" s="371">
        <v>0.3</v>
      </c>
      <c r="L209" s="371">
        <v>0.4</v>
      </c>
      <c r="M209" s="371">
        <v>0.5</v>
      </c>
      <c r="N209" s="371">
        <v>0.6</v>
      </c>
      <c r="O209" s="371">
        <v>0.7</v>
      </c>
      <c r="P209" s="371">
        <v>0.82</v>
      </c>
      <c r="Q209" s="371">
        <v>0.93</v>
      </c>
      <c r="R209" s="371">
        <v>1</v>
      </c>
      <c r="S209" s="371">
        <f t="shared" ref="S209:X210" si="50">R209</f>
        <v>1</v>
      </c>
      <c r="T209" s="371">
        <f t="shared" si="50"/>
        <v>1</v>
      </c>
      <c r="U209" s="371">
        <f t="shared" si="50"/>
        <v>1</v>
      </c>
      <c r="V209" s="371">
        <f t="shared" si="50"/>
        <v>1</v>
      </c>
      <c r="W209" s="371">
        <f t="shared" si="50"/>
        <v>1</v>
      </c>
      <c r="X209" s="371">
        <v>2</v>
      </c>
      <c r="Y209" s="381">
        <v>1000</v>
      </c>
    </row>
    <row r="210" spans="1:26" x14ac:dyDescent="0.2">
      <c r="A210" s="378" t="s">
        <v>34</v>
      </c>
      <c r="B210" s="372">
        <v>0</v>
      </c>
      <c r="C210" s="373">
        <v>41.9</v>
      </c>
      <c r="D210" s="373">
        <v>92.1</v>
      </c>
      <c r="E210" s="373">
        <v>116.7</v>
      </c>
      <c r="F210" s="373">
        <v>112.7</v>
      </c>
      <c r="G210" s="373">
        <v>82.7</v>
      </c>
      <c r="H210" s="373">
        <v>84.7</v>
      </c>
      <c r="I210" s="373">
        <v>86.2</v>
      </c>
      <c r="J210" s="373">
        <v>87.9</v>
      </c>
      <c r="K210" s="373">
        <v>90.9</v>
      </c>
      <c r="L210" s="373">
        <v>93.9</v>
      </c>
      <c r="M210" s="373">
        <v>95.3</v>
      </c>
      <c r="N210" s="373">
        <v>96.8</v>
      </c>
      <c r="O210" s="373">
        <v>97.6</v>
      </c>
      <c r="P210" s="373">
        <v>108.2</v>
      </c>
      <c r="Q210" s="373">
        <v>11</v>
      </c>
      <c r="R210" s="373">
        <v>0</v>
      </c>
      <c r="S210" s="373">
        <f t="shared" si="50"/>
        <v>0</v>
      </c>
      <c r="T210" s="373">
        <f t="shared" si="50"/>
        <v>0</v>
      </c>
      <c r="U210" s="373">
        <f t="shared" si="50"/>
        <v>0</v>
      </c>
      <c r="V210" s="373">
        <f t="shared" si="50"/>
        <v>0</v>
      </c>
      <c r="W210" s="373">
        <f t="shared" si="50"/>
        <v>0</v>
      </c>
      <c r="X210" s="373">
        <f t="shared" si="50"/>
        <v>0</v>
      </c>
      <c r="Y210" s="382">
        <v>0</v>
      </c>
    </row>
    <row r="211" spans="1:26" ht="13.5" thickBot="1" x14ac:dyDescent="0.25">
      <c r="A211" s="379" t="s">
        <v>119</v>
      </c>
      <c r="B211" s="374">
        <f t="shared" ref="B211:V211" si="51">(C210+B210)*(C209-B209)/2</f>
        <v>0.41899999999999998</v>
      </c>
      <c r="C211" s="375">
        <f t="shared" si="51"/>
        <v>0.66999999999999993</v>
      </c>
      <c r="D211" s="375">
        <f t="shared" si="51"/>
        <v>1.0440000000000003</v>
      </c>
      <c r="E211" s="375">
        <f t="shared" si="51"/>
        <v>2.2939999999999996</v>
      </c>
      <c r="F211" s="375">
        <f t="shared" si="51"/>
        <v>1.9540000000000004</v>
      </c>
      <c r="G211" s="375">
        <f t="shared" si="51"/>
        <v>5.859</v>
      </c>
      <c r="H211" s="375">
        <f t="shared" si="51"/>
        <v>2.5634999999999999</v>
      </c>
      <c r="I211" s="375">
        <f t="shared" si="51"/>
        <v>1.7410000000000019</v>
      </c>
      <c r="J211" s="375">
        <f>(K210+J210)*(K209-J209)/2</f>
        <v>8.9399999999999977</v>
      </c>
      <c r="K211" s="375">
        <f t="shared" si="51"/>
        <v>9.2400000000000038</v>
      </c>
      <c r="L211" s="375">
        <f t="shared" si="51"/>
        <v>9.4599999999999973</v>
      </c>
      <c r="M211" s="375">
        <f t="shared" si="51"/>
        <v>9.6049999999999969</v>
      </c>
      <c r="N211" s="375">
        <f t="shared" si="51"/>
        <v>9.7199999999999971</v>
      </c>
      <c r="O211" s="375">
        <f t="shared" si="51"/>
        <v>12.348000000000001</v>
      </c>
      <c r="P211" s="375">
        <f t="shared" si="51"/>
        <v>6.5560000000000063</v>
      </c>
      <c r="Q211" s="375">
        <f t="shared" si="51"/>
        <v>0.38499999999999973</v>
      </c>
      <c r="R211" s="375">
        <f t="shared" si="51"/>
        <v>0</v>
      </c>
      <c r="S211" s="375">
        <f>(T210+S210)*(T209-S209)/2</f>
        <v>0</v>
      </c>
      <c r="T211" s="375">
        <f t="shared" si="51"/>
        <v>0</v>
      </c>
      <c r="U211" s="375">
        <f t="shared" si="51"/>
        <v>0</v>
      </c>
      <c r="V211" s="375">
        <f t="shared" si="51"/>
        <v>0</v>
      </c>
      <c r="W211" s="375">
        <f>(X210+W210)*(X209-W209)/2</f>
        <v>0</v>
      </c>
      <c r="X211" s="375">
        <f>(Y210+X210)*(Y209-X209)/2</f>
        <v>0</v>
      </c>
      <c r="Y211" s="369"/>
    </row>
    <row r="212" spans="1:26" ht="13.5" thickBot="1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6" ht="13.5" thickBot="1" x14ac:dyDescent="0.25">
      <c r="A213" s="361" t="s">
        <v>380</v>
      </c>
      <c r="B213" s="359">
        <f>ROW(A213)</f>
        <v>213</v>
      </c>
      <c r="C213" s="363" t="s">
        <v>118</v>
      </c>
      <c r="D213" s="353">
        <f>SUM(B216:Y216)</f>
        <v>98.257101163036367</v>
      </c>
      <c r="E213" s="363" t="s">
        <v>117</v>
      </c>
      <c r="F213" s="354">
        <f>D213/g/J213</f>
        <v>177.58890761893778</v>
      </c>
      <c r="G213" s="363" t="s">
        <v>59</v>
      </c>
      <c r="H213" s="64">
        <v>0.14319999999999999</v>
      </c>
      <c r="I213" s="363" t="s">
        <v>274</v>
      </c>
      <c r="J213" s="355">
        <f>H213-L213</f>
        <v>5.6399999999999992E-2</v>
      </c>
      <c r="K213" s="363" t="s">
        <v>275</v>
      </c>
      <c r="L213" s="64">
        <v>8.6800000000000002E-2</v>
      </c>
      <c r="M213" s="363" t="s">
        <v>60</v>
      </c>
      <c r="N213" s="65">
        <v>71</v>
      </c>
      <c r="O213" s="363" t="s">
        <v>62</v>
      </c>
      <c r="P213" s="65">
        <v>71</v>
      </c>
      <c r="Q213" s="363" t="s">
        <v>63</v>
      </c>
      <c r="R213" s="65">
        <v>142</v>
      </c>
      <c r="S213" s="363" t="s">
        <v>64</v>
      </c>
      <c r="T213" s="65">
        <v>29</v>
      </c>
      <c r="U213" s="363" t="s">
        <v>57</v>
      </c>
      <c r="V213" s="66" t="s">
        <v>122</v>
      </c>
      <c r="W213" s="463" t="s">
        <v>398</v>
      </c>
      <c r="X213" s="465">
        <v>1.1499999999999999</v>
      </c>
      <c r="Y213" s="463" t="s">
        <v>397</v>
      </c>
      <c r="Z213" s="358">
        <v>14</v>
      </c>
    </row>
    <row r="214" spans="1:26" x14ac:dyDescent="0.2">
      <c r="A214" s="362" t="s">
        <v>33</v>
      </c>
      <c r="B214" s="370">
        <v>0</v>
      </c>
      <c r="C214" s="371">
        <v>1.4999999999999999E-2</v>
      </c>
      <c r="D214" s="371">
        <v>0.03</v>
      </c>
      <c r="E214" s="371">
        <v>4.4999999999999998E-2</v>
      </c>
      <c r="F214" s="371">
        <v>0.06</v>
      </c>
      <c r="G214" s="371">
        <v>7.4999999999999997E-2</v>
      </c>
      <c r="H214" s="371">
        <v>0.09</v>
      </c>
      <c r="I214" s="371">
        <v>0.105</v>
      </c>
      <c r="J214" s="371">
        <v>0.12</v>
      </c>
      <c r="K214" s="371">
        <v>0.18</v>
      </c>
      <c r="L214" s="371">
        <v>0.24</v>
      </c>
      <c r="M214" s="371">
        <v>0.3</v>
      </c>
      <c r="N214" s="371">
        <v>0.48</v>
      </c>
      <c r="O214" s="371">
        <v>0.6</v>
      </c>
      <c r="P214" s="371">
        <v>0.66</v>
      </c>
      <c r="Q214" s="371">
        <v>0.72</v>
      </c>
      <c r="R214" s="371">
        <v>0.78</v>
      </c>
      <c r="S214" s="371">
        <v>0.84</v>
      </c>
      <c r="T214" s="371">
        <v>0.9</v>
      </c>
      <c r="U214" s="371">
        <v>0.96</v>
      </c>
      <c r="V214" s="371">
        <v>1.0349999999999999</v>
      </c>
      <c r="W214" s="371">
        <v>1.2</v>
      </c>
      <c r="X214" s="371">
        <v>2</v>
      </c>
      <c r="Y214" s="381">
        <v>1000</v>
      </c>
    </row>
    <row r="215" spans="1:26" x14ac:dyDescent="0.2">
      <c r="A215" s="378" t="s">
        <v>34</v>
      </c>
      <c r="B215" s="372">
        <v>0</v>
      </c>
      <c r="C215" s="376">
        <v>99.328788958822486</v>
      </c>
      <c r="D215" s="376">
        <v>109.07039432469</v>
      </c>
      <c r="E215" s="376">
        <v>65.255411286427503</v>
      </c>
      <c r="F215" s="376">
        <v>67.568486533117493</v>
      </c>
      <c r="G215" s="376">
        <v>73.929443461515007</v>
      </c>
      <c r="H215" s="376">
        <v>74.329783408057494</v>
      </c>
      <c r="I215" s="376">
        <v>78.1552540083525</v>
      </c>
      <c r="J215" s="376">
        <v>78.600076171177506</v>
      </c>
      <c r="K215" s="376">
        <v>82.203135690059995</v>
      </c>
      <c r="L215" s="376">
        <v>84.516210936749999</v>
      </c>
      <c r="M215" s="376">
        <v>88.51961040217499</v>
      </c>
      <c r="N215" s="376">
        <v>95.102978411984992</v>
      </c>
      <c r="O215" s="376">
        <v>95.547800574809997</v>
      </c>
      <c r="P215" s="376">
        <v>94.480227384029988</v>
      </c>
      <c r="Q215" s="376">
        <v>92.122669921057494</v>
      </c>
      <c r="R215" s="376">
        <v>90.743721216299988</v>
      </c>
      <c r="S215" s="376">
        <v>88.964432564999996</v>
      </c>
      <c r="T215" s="376">
        <v>85.405855262399996</v>
      </c>
      <c r="U215" s="376">
        <v>83.448637745970004</v>
      </c>
      <c r="V215" s="376">
        <v>88.074788239349999</v>
      </c>
      <c r="W215" s="376">
        <v>0</v>
      </c>
      <c r="X215" s="373">
        <v>0</v>
      </c>
      <c r="Y215" s="382">
        <v>0</v>
      </c>
    </row>
    <row r="216" spans="1:26" ht="13.5" thickBot="1" x14ac:dyDescent="0.25">
      <c r="A216" s="379" t="s">
        <v>119</v>
      </c>
      <c r="B216" s="374">
        <f t="shared" ref="B216:V216" si="52">(C215+B215)*(C214-B214)/2</f>
        <v>0.74496591719116867</v>
      </c>
      <c r="C216" s="375">
        <f t="shared" si="52"/>
        <v>1.5629938746263436</v>
      </c>
      <c r="D216" s="375">
        <f t="shared" si="52"/>
        <v>1.3074435420833814</v>
      </c>
      <c r="E216" s="375">
        <f t="shared" si="52"/>
        <v>0.99617923364658734</v>
      </c>
      <c r="F216" s="375">
        <f t="shared" si="52"/>
        <v>1.0612344749597438</v>
      </c>
      <c r="G216" s="375">
        <f t="shared" si="52"/>
        <v>1.1119442015217937</v>
      </c>
      <c r="H216" s="375">
        <f t="shared" si="52"/>
        <v>1.1436377806230749</v>
      </c>
      <c r="I216" s="375">
        <f t="shared" si="52"/>
        <v>1.175664976346475</v>
      </c>
      <c r="J216" s="375">
        <f>(K215+J215)*(K214-J214)/2</f>
        <v>4.824096355837125</v>
      </c>
      <c r="K216" s="375">
        <f t="shared" si="52"/>
        <v>5.0015803988042995</v>
      </c>
      <c r="L216" s="375">
        <f t="shared" si="52"/>
        <v>5.1910746401677494</v>
      </c>
      <c r="M216" s="375">
        <f t="shared" si="52"/>
        <v>16.526032993274399</v>
      </c>
      <c r="N216" s="375">
        <f t="shared" si="52"/>
        <v>11.439046739207699</v>
      </c>
      <c r="O216" s="375">
        <f t="shared" si="52"/>
        <v>5.7008408387652043</v>
      </c>
      <c r="P216" s="375">
        <f t="shared" si="52"/>
        <v>5.5980869191526192</v>
      </c>
      <c r="Q216" s="375">
        <f t="shared" si="52"/>
        <v>5.4859917341207289</v>
      </c>
      <c r="R216" s="375">
        <f t="shared" si="52"/>
        <v>5.3912446134389942</v>
      </c>
      <c r="S216" s="375">
        <f>(T215+S215)*(T214-S214)/2</f>
        <v>5.2311086348220037</v>
      </c>
      <c r="T216" s="375">
        <f t="shared" si="52"/>
        <v>5.0656347902510959</v>
      </c>
      <c r="U216" s="375">
        <f t="shared" si="52"/>
        <v>6.4321284744494962</v>
      </c>
      <c r="V216" s="375">
        <f t="shared" si="52"/>
        <v>7.2661700297463767</v>
      </c>
      <c r="W216" s="375">
        <f>(X215+W215)*(X214-W214)/2</f>
        <v>0</v>
      </c>
      <c r="X216" s="375">
        <f>(Y215+X215)*(Y214-X214)/2</f>
        <v>0</v>
      </c>
      <c r="Y216" s="369"/>
    </row>
    <row r="217" spans="1:26" ht="13.5" thickBo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6" ht="13.5" thickBot="1" x14ac:dyDescent="0.25">
      <c r="A218" s="361" t="s">
        <v>381</v>
      </c>
      <c r="B218" s="359">
        <f>ROW(A218)</f>
        <v>218</v>
      </c>
      <c r="C218" s="363" t="s">
        <v>118</v>
      </c>
      <c r="D218" s="353">
        <f>SUM(B221:Y221)</f>
        <v>109.60639850000001</v>
      </c>
      <c r="E218" s="363" t="s">
        <v>117</v>
      </c>
      <c r="F218" s="354">
        <f>D218/g/J218</f>
        <v>194.31174666489383</v>
      </c>
      <c r="G218" s="363" t="s">
        <v>59</v>
      </c>
      <c r="H218" s="64">
        <v>0.14130000000000001</v>
      </c>
      <c r="I218" s="363" t="s">
        <v>274</v>
      </c>
      <c r="J218" s="355">
        <f>H218-L218</f>
        <v>5.7500000000000009E-2</v>
      </c>
      <c r="K218" s="363" t="s">
        <v>275</v>
      </c>
      <c r="L218" s="64">
        <v>8.3799999999999999E-2</v>
      </c>
      <c r="M218" s="363" t="s">
        <v>60</v>
      </c>
      <c r="N218" s="65">
        <v>71</v>
      </c>
      <c r="O218" s="363" t="s">
        <v>62</v>
      </c>
      <c r="P218" s="65">
        <v>71</v>
      </c>
      <c r="Q218" s="363" t="s">
        <v>63</v>
      </c>
      <c r="R218" s="65">
        <v>142</v>
      </c>
      <c r="S218" s="363" t="s">
        <v>64</v>
      </c>
      <c r="T218" s="65">
        <v>29</v>
      </c>
      <c r="U218" s="363" t="s">
        <v>57</v>
      </c>
      <c r="V218" s="66" t="s">
        <v>405</v>
      </c>
      <c r="W218" s="463" t="s">
        <v>398</v>
      </c>
      <c r="X218" s="465">
        <v>0.45</v>
      </c>
      <c r="Y218" s="463" t="s">
        <v>397</v>
      </c>
      <c r="Z218" s="358">
        <v>14</v>
      </c>
    </row>
    <row r="219" spans="1:26" x14ac:dyDescent="0.2">
      <c r="A219" s="362" t="s">
        <v>33</v>
      </c>
      <c r="B219" s="370">
        <v>0</v>
      </c>
      <c r="C219" s="371">
        <v>6.0000000000000001E-3</v>
      </c>
      <c r="D219" s="371">
        <v>1.0999999999999999E-2</v>
      </c>
      <c r="E219" s="371">
        <v>1.6E-2</v>
      </c>
      <c r="F219" s="371">
        <v>3.1E-2</v>
      </c>
      <c r="G219" s="371">
        <v>7.4999999999999997E-2</v>
      </c>
      <c r="H219" s="371">
        <v>0.122</v>
      </c>
      <c r="I219" s="371">
        <v>0.216</v>
      </c>
      <c r="J219" s="371">
        <v>0.25</v>
      </c>
      <c r="K219" s="371">
        <v>0.28699999999999998</v>
      </c>
      <c r="L219" s="371">
        <v>0.35399999999999998</v>
      </c>
      <c r="M219" s="371">
        <v>0.374</v>
      </c>
      <c r="N219" s="371">
        <v>0.4</v>
      </c>
      <c r="O219" s="371">
        <v>0.41299999999999998</v>
      </c>
      <c r="P219" s="371">
        <v>0.42</v>
      </c>
      <c r="Q219" s="371">
        <v>0.433</v>
      </c>
      <c r="R219" s="371">
        <v>0.44500000000000001</v>
      </c>
      <c r="S219" s="371">
        <v>0.45400000000000001</v>
      </c>
      <c r="T219" s="371">
        <f t="shared" ref="T219:X220" si="53">S219</f>
        <v>0.45400000000000001</v>
      </c>
      <c r="U219" s="371">
        <f t="shared" si="53"/>
        <v>0.45400000000000001</v>
      </c>
      <c r="V219" s="371">
        <f t="shared" si="53"/>
        <v>0.45400000000000001</v>
      </c>
      <c r="W219" s="371">
        <f t="shared" si="53"/>
        <v>0.45400000000000001</v>
      </c>
      <c r="X219" s="371">
        <v>2</v>
      </c>
      <c r="Y219" s="381">
        <v>1000</v>
      </c>
    </row>
    <row r="220" spans="1:26" x14ac:dyDescent="0.2">
      <c r="A220" s="378" t="s">
        <v>34</v>
      </c>
      <c r="B220" s="372">
        <v>0</v>
      </c>
      <c r="C220" s="373">
        <v>151.62100000000001</v>
      </c>
      <c r="D220" s="373">
        <v>198.07900000000001</v>
      </c>
      <c r="E220" s="373">
        <v>203.12100000000001</v>
      </c>
      <c r="F220" s="373">
        <v>201.68100000000001</v>
      </c>
      <c r="G220" s="373">
        <v>226.17</v>
      </c>
      <c r="H220" s="373">
        <v>250.3</v>
      </c>
      <c r="I220" s="373">
        <v>280.19200000000001</v>
      </c>
      <c r="J220" s="373">
        <v>287.03500000000003</v>
      </c>
      <c r="K220" s="373">
        <v>284.87400000000002</v>
      </c>
      <c r="L220" s="373">
        <v>269.74799999999999</v>
      </c>
      <c r="M220" s="373">
        <v>258.58300000000003</v>
      </c>
      <c r="N220" s="373">
        <v>233.37299999999999</v>
      </c>
      <c r="O220" s="373">
        <v>234.09399999999999</v>
      </c>
      <c r="P220" s="373">
        <v>227.61099999999999</v>
      </c>
      <c r="Q220" s="373">
        <v>137.935</v>
      </c>
      <c r="R220" s="373">
        <v>33.853999999999999</v>
      </c>
      <c r="S220" s="373">
        <v>0</v>
      </c>
      <c r="T220" s="373">
        <f t="shared" si="53"/>
        <v>0</v>
      </c>
      <c r="U220" s="373">
        <f t="shared" si="53"/>
        <v>0</v>
      </c>
      <c r="V220" s="373">
        <f t="shared" si="53"/>
        <v>0</v>
      </c>
      <c r="W220" s="373">
        <f t="shared" si="53"/>
        <v>0</v>
      </c>
      <c r="X220" s="373">
        <f t="shared" si="53"/>
        <v>0</v>
      </c>
      <c r="Y220" s="382">
        <v>0</v>
      </c>
    </row>
    <row r="221" spans="1:26" ht="13.5" thickBot="1" x14ac:dyDescent="0.25">
      <c r="A221" s="379" t="s">
        <v>119</v>
      </c>
      <c r="B221" s="374">
        <f t="shared" ref="B221:X221" si="54">(C220+B220)*(C219-B219)/2</f>
        <v>0.45486300000000002</v>
      </c>
      <c r="C221" s="375">
        <f t="shared" si="54"/>
        <v>0.87424999999999997</v>
      </c>
      <c r="D221" s="375">
        <f t="shared" si="54"/>
        <v>1.0030000000000003</v>
      </c>
      <c r="E221" s="375">
        <f t="shared" si="54"/>
        <v>3.0360149999999999</v>
      </c>
      <c r="F221" s="375">
        <f t="shared" si="54"/>
        <v>9.4127219999999987</v>
      </c>
      <c r="G221" s="375">
        <f t="shared" si="54"/>
        <v>11.197045000000001</v>
      </c>
      <c r="H221" s="375">
        <f t="shared" si="54"/>
        <v>24.933123999999999</v>
      </c>
      <c r="I221" s="375">
        <f t="shared" si="54"/>
        <v>9.6428590000000014</v>
      </c>
      <c r="J221" s="375">
        <f t="shared" si="54"/>
        <v>10.580316499999995</v>
      </c>
      <c r="K221" s="375">
        <f t="shared" si="54"/>
        <v>18.579837000000005</v>
      </c>
      <c r="L221" s="375">
        <f t="shared" si="54"/>
        <v>5.2833100000000046</v>
      </c>
      <c r="M221" s="375">
        <f t="shared" si="54"/>
        <v>6.3954280000000061</v>
      </c>
      <c r="N221" s="375">
        <f t="shared" si="54"/>
        <v>3.0385354999999898</v>
      </c>
      <c r="O221" s="375">
        <f t="shared" si="54"/>
        <v>1.6159675000000013</v>
      </c>
      <c r="P221" s="375">
        <f t="shared" si="54"/>
        <v>2.3760490000000019</v>
      </c>
      <c r="Q221" s="375">
        <f t="shared" si="54"/>
        <v>1.0307340000000009</v>
      </c>
      <c r="R221" s="375">
        <f t="shared" si="54"/>
        <v>0.15234300000000014</v>
      </c>
      <c r="S221" s="375">
        <f t="shared" si="54"/>
        <v>0</v>
      </c>
      <c r="T221" s="375">
        <f t="shared" si="54"/>
        <v>0</v>
      </c>
      <c r="U221" s="375">
        <f t="shared" si="54"/>
        <v>0</v>
      </c>
      <c r="V221" s="375">
        <f t="shared" si="54"/>
        <v>0</v>
      </c>
      <c r="W221" s="375">
        <f t="shared" si="54"/>
        <v>0</v>
      </c>
      <c r="X221" s="375">
        <f t="shared" si="54"/>
        <v>0</v>
      </c>
      <c r="Y221" s="369"/>
    </row>
    <row r="222" spans="1:26" ht="13.5" thickBo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6" ht="13.5" thickBot="1" x14ac:dyDescent="0.25">
      <c r="A223" s="361" t="s">
        <v>382</v>
      </c>
      <c r="B223" s="359">
        <f>ROW(A223)</f>
        <v>223</v>
      </c>
      <c r="C223" s="363" t="s">
        <v>118</v>
      </c>
      <c r="D223" s="353">
        <f>SUM(B226:Y226)</f>
        <v>115.63</v>
      </c>
      <c r="E223" s="363" t="s">
        <v>117</v>
      </c>
      <c r="F223" s="354">
        <f>D223/g/J223</f>
        <v>199.77884897804037</v>
      </c>
      <c r="G223" s="363" t="s">
        <v>59</v>
      </c>
      <c r="H223" s="64">
        <v>0.14499999999999999</v>
      </c>
      <c r="I223" s="363" t="s">
        <v>274</v>
      </c>
      <c r="J223" s="355">
        <f>H223-L223</f>
        <v>5.8999999999999997E-2</v>
      </c>
      <c r="K223" s="363" t="s">
        <v>275</v>
      </c>
      <c r="L223" s="64">
        <v>8.5999999999999993E-2</v>
      </c>
      <c r="M223" s="363" t="s">
        <v>60</v>
      </c>
      <c r="N223" s="65">
        <v>71</v>
      </c>
      <c r="O223" s="363" t="s">
        <v>62</v>
      </c>
      <c r="P223" s="65">
        <v>71</v>
      </c>
      <c r="Q223" s="363" t="s">
        <v>63</v>
      </c>
      <c r="R223" s="65">
        <v>142</v>
      </c>
      <c r="S223" s="363" t="s">
        <v>64</v>
      </c>
      <c r="T223" s="65">
        <v>29</v>
      </c>
      <c r="U223" s="363" t="s">
        <v>57</v>
      </c>
      <c r="V223" s="66" t="s">
        <v>122</v>
      </c>
      <c r="W223" s="463" t="s">
        <v>398</v>
      </c>
      <c r="X223" s="465">
        <v>0.93</v>
      </c>
      <c r="Y223" s="463" t="s">
        <v>397</v>
      </c>
      <c r="Z223" s="358">
        <v>13</v>
      </c>
    </row>
    <row r="224" spans="1:26" x14ac:dyDescent="0.2">
      <c r="A224" s="362" t="s">
        <v>33</v>
      </c>
      <c r="B224" s="370">
        <v>0</v>
      </c>
      <c r="C224" s="371">
        <v>0.01</v>
      </c>
      <c r="D224" s="371">
        <v>0.02</v>
      </c>
      <c r="E224" s="371">
        <v>0.03</v>
      </c>
      <c r="F224" s="371">
        <v>0.04</v>
      </c>
      <c r="G224" s="371">
        <v>0.05</v>
      </c>
      <c r="H224" s="371">
        <v>0.1</v>
      </c>
      <c r="I224" s="371">
        <v>0.2</v>
      </c>
      <c r="J224" s="371">
        <v>0.3</v>
      </c>
      <c r="K224" s="371">
        <v>0.4</v>
      </c>
      <c r="L224" s="371">
        <v>0.6</v>
      </c>
      <c r="M224" s="371">
        <v>0.75</v>
      </c>
      <c r="N224" s="371">
        <v>0.81</v>
      </c>
      <c r="O224" s="371">
        <v>0.86</v>
      </c>
      <c r="P224" s="371">
        <v>0.9</v>
      </c>
      <c r="Q224" s="371">
        <v>0.95</v>
      </c>
      <c r="R224" s="371">
        <v>1</v>
      </c>
      <c r="S224" s="371">
        <v>1</v>
      </c>
      <c r="T224" s="371">
        <v>1</v>
      </c>
      <c r="U224" s="371">
        <v>1</v>
      </c>
      <c r="V224" s="371">
        <v>1</v>
      </c>
      <c r="W224" s="371">
        <v>1</v>
      </c>
      <c r="X224" s="371">
        <v>2</v>
      </c>
      <c r="Y224" s="381">
        <v>1000</v>
      </c>
    </row>
    <row r="225" spans="1:26" x14ac:dyDescent="0.2">
      <c r="A225" s="378" t="s">
        <v>34</v>
      </c>
      <c r="B225" s="372">
        <v>0</v>
      </c>
      <c r="C225" s="376">
        <v>55</v>
      </c>
      <c r="D225" s="376">
        <v>168</v>
      </c>
      <c r="E225" s="376">
        <v>157</v>
      </c>
      <c r="F225" s="376">
        <v>148</v>
      </c>
      <c r="G225" s="376">
        <v>125</v>
      </c>
      <c r="H225" s="376">
        <v>135</v>
      </c>
      <c r="I225" s="376">
        <v>141</v>
      </c>
      <c r="J225" s="376">
        <v>142</v>
      </c>
      <c r="K225" s="376">
        <v>141</v>
      </c>
      <c r="L225" s="376">
        <v>133</v>
      </c>
      <c r="M225" s="376">
        <v>127</v>
      </c>
      <c r="N225" s="376">
        <v>128</v>
      </c>
      <c r="O225" s="376">
        <v>60</v>
      </c>
      <c r="P225" s="376">
        <v>15</v>
      </c>
      <c r="Q225" s="376">
        <v>0</v>
      </c>
      <c r="R225" s="376">
        <v>0</v>
      </c>
      <c r="S225" s="376">
        <v>0</v>
      </c>
      <c r="T225" s="376">
        <v>0</v>
      </c>
      <c r="U225" s="376">
        <v>0</v>
      </c>
      <c r="V225" s="376">
        <v>0</v>
      </c>
      <c r="W225" s="376">
        <v>0</v>
      </c>
      <c r="X225" s="373">
        <v>0</v>
      </c>
      <c r="Y225" s="382">
        <v>0</v>
      </c>
    </row>
    <row r="226" spans="1:26" ht="13.5" thickBot="1" x14ac:dyDescent="0.25">
      <c r="A226" s="379" t="s">
        <v>119</v>
      </c>
      <c r="B226" s="374">
        <f t="shared" ref="B226:X226" si="55">(C225+B225)*(C224-B224)/2</f>
        <v>0.27500000000000002</v>
      </c>
      <c r="C226" s="375">
        <f t="shared" si="55"/>
        <v>1.115</v>
      </c>
      <c r="D226" s="375">
        <f t="shared" si="55"/>
        <v>1.6249999999999998</v>
      </c>
      <c r="E226" s="375">
        <f t="shared" si="55"/>
        <v>1.5250000000000004</v>
      </c>
      <c r="F226" s="375">
        <f t="shared" si="55"/>
        <v>1.3650000000000002</v>
      </c>
      <c r="G226" s="375">
        <f t="shared" si="55"/>
        <v>6.5</v>
      </c>
      <c r="H226" s="375">
        <f t="shared" si="55"/>
        <v>13.8</v>
      </c>
      <c r="I226" s="375">
        <f t="shared" si="55"/>
        <v>14.149999999999997</v>
      </c>
      <c r="J226" s="375">
        <f t="shared" si="55"/>
        <v>14.150000000000004</v>
      </c>
      <c r="K226" s="375">
        <f t="shared" si="55"/>
        <v>27.399999999999995</v>
      </c>
      <c r="L226" s="375">
        <f t="shared" si="55"/>
        <v>19.500000000000004</v>
      </c>
      <c r="M226" s="375">
        <f t="shared" si="55"/>
        <v>7.6500000000000066</v>
      </c>
      <c r="N226" s="375">
        <f t="shared" si="55"/>
        <v>4.699999999999994</v>
      </c>
      <c r="O226" s="375">
        <f t="shared" si="55"/>
        <v>1.5000000000000013</v>
      </c>
      <c r="P226" s="375">
        <f t="shared" si="55"/>
        <v>0.3749999999999995</v>
      </c>
      <c r="Q226" s="375">
        <f t="shared" si="55"/>
        <v>0</v>
      </c>
      <c r="R226" s="375">
        <f t="shared" si="55"/>
        <v>0</v>
      </c>
      <c r="S226" s="375">
        <f t="shared" si="55"/>
        <v>0</v>
      </c>
      <c r="T226" s="375">
        <f t="shared" si="55"/>
        <v>0</v>
      </c>
      <c r="U226" s="375">
        <f t="shared" si="55"/>
        <v>0</v>
      </c>
      <c r="V226" s="375">
        <f t="shared" si="55"/>
        <v>0</v>
      </c>
      <c r="W226" s="375">
        <f t="shared" si="55"/>
        <v>0</v>
      </c>
      <c r="X226" s="375">
        <f t="shared" si="55"/>
        <v>0</v>
      </c>
      <c r="Y226" s="369"/>
    </row>
    <row r="227" spans="1:26" ht="13.5" thickBot="1" x14ac:dyDescent="0.25">
      <c r="A227" s="6" t="s">
        <v>390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6" ht="13.5" thickBot="1" x14ac:dyDescent="0.25">
      <c r="A228" s="361" t="s">
        <v>391</v>
      </c>
      <c r="B228" s="359">
        <f>ROW(A228)</f>
        <v>228</v>
      </c>
      <c r="C228" s="363" t="s">
        <v>118</v>
      </c>
      <c r="D228" s="353">
        <f>SUM(B231:Y231)</f>
        <v>115.63</v>
      </c>
      <c r="E228" s="363" t="s">
        <v>117</v>
      </c>
      <c r="F228" s="354">
        <f>D228/g/J228</f>
        <v>125.39310733728064</v>
      </c>
      <c r="G228" s="363" t="s">
        <v>59</v>
      </c>
      <c r="H228" s="64">
        <v>0.2</v>
      </c>
      <c r="I228" s="363" t="s">
        <v>274</v>
      </c>
      <c r="J228" s="355">
        <f>H228-L228</f>
        <v>9.4000000000000014E-2</v>
      </c>
      <c r="K228" s="363" t="s">
        <v>275</v>
      </c>
      <c r="L228" s="64">
        <v>0.106</v>
      </c>
      <c r="M228" s="363" t="s">
        <v>60</v>
      </c>
      <c r="N228" s="65">
        <v>93</v>
      </c>
      <c r="O228" s="363" t="s">
        <v>62</v>
      </c>
      <c r="P228" s="65">
        <v>93</v>
      </c>
      <c r="Q228" s="363" t="s">
        <v>63</v>
      </c>
      <c r="R228" s="65">
        <v>187</v>
      </c>
      <c r="S228" s="363" t="s">
        <v>64</v>
      </c>
      <c r="T228" s="65">
        <v>29</v>
      </c>
      <c r="U228" s="363" t="s">
        <v>57</v>
      </c>
      <c r="V228" s="66" t="s">
        <v>122</v>
      </c>
      <c r="W228" s="463" t="s">
        <v>398</v>
      </c>
      <c r="X228" s="465">
        <v>0.96</v>
      </c>
      <c r="Y228" s="463" t="s">
        <v>397</v>
      </c>
      <c r="Z228" s="358">
        <v>14</v>
      </c>
    </row>
    <row r="229" spans="1:26" x14ac:dyDescent="0.2">
      <c r="A229" s="362" t="s">
        <v>33</v>
      </c>
      <c r="B229" s="370">
        <v>0</v>
      </c>
      <c r="C229" s="371">
        <v>0.01</v>
      </c>
      <c r="D229" s="371">
        <v>0.02</v>
      </c>
      <c r="E229" s="371">
        <v>0.03</v>
      </c>
      <c r="F229" s="371">
        <v>0.04</v>
      </c>
      <c r="G229" s="371">
        <v>0.05</v>
      </c>
      <c r="H229" s="371">
        <v>0.1</v>
      </c>
      <c r="I229" s="371">
        <v>0.2</v>
      </c>
      <c r="J229" s="371">
        <v>0.3</v>
      </c>
      <c r="K229" s="371">
        <v>0.4</v>
      </c>
      <c r="L229" s="371">
        <v>0.6</v>
      </c>
      <c r="M229" s="371">
        <v>0.75</v>
      </c>
      <c r="N229" s="371">
        <v>0.81</v>
      </c>
      <c r="O229" s="371">
        <v>0.86</v>
      </c>
      <c r="P229" s="371">
        <v>0.9</v>
      </c>
      <c r="Q229" s="371">
        <v>0.95</v>
      </c>
      <c r="R229" s="371">
        <v>1</v>
      </c>
      <c r="S229" s="371">
        <f t="shared" ref="S229:X230" si="56">R229</f>
        <v>1</v>
      </c>
      <c r="T229" s="371">
        <f t="shared" si="56"/>
        <v>1</v>
      </c>
      <c r="U229" s="371">
        <f t="shared" si="56"/>
        <v>1</v>
      </c>
      <c r="V229" s="371">
        <f t="shared" si="56"/>
        <v>1</v>
      </c>
      <c r="W229" s="371">
        <f t="shared" si="56"/>
        <v>1</v>
      </c>
      <c r="X229" s="371">
        <v>2</v>
      </c>
      <c r="Y229" s="381">
        <v>1000</v>
      </c>
    </row>
    <row r="230" spans="1:26" x14ac:dyDescent="0.2">
      <c r="A230" s="378" t="s">
        <v>34</v>
      </c>
      <c r="B230" s="372">
        <v>0</v>
      </c>
      <c r="C230" s="373">
        <v>55</v>
      </c>
      <c r="D230" s="373">
        <v>168</v>
      </c>
      <c r="E230" s="373">
        <v>157</v>
      </c>
      <c r="F230" s="373">
        <v>148</v>
      </c>
      <c r="G230" s="373">
        <v>125</v>
      </c>
      <c r="H230" s="373">
        <v>135</v>
      </c>
      <c r="I230" s="373">
        <v>141</v>
      </c>
      <c r="J230" s="373">
        <v>142</v>
      </c>
      <c r="K230" s="373">
        <v>141</v>
      </c>
      <c r="L230" s="373">
        <v>133</v>
      </c>
      <c r="M230" s="373">
        <v>127</v>
      </c>
      <c r="N230" s="373">
        <v>128</v>
      </c>
      <c r="O230" s="373">
        <v>60</v>
      </c>
      <c r="P230" s="373">
        <v>15</v>
      </c>
      <c r="Q230" s="373">
        <v>0</v>
      </c>
      <c r="R230" s="373">
        <v>0</v>
      </c>
      <c r="S230" s="373">
        <f t="shared" si="56"/>
        <v>0</v>
      </c>
      <c r="T230" s="373">
        <f t="shared" si="56"/>
        <v>0</v>
      </c>
      <c r="U230" s="373">
        <f t="shared" si="56"/>
        <v>0</v>
      </c>
      <c r="V230" s="373">
        <f t="shared" si="56"/>
        <v>0</v>
      </c>
      <c r="W230" s="373">
        <f t="shared" si="56"/>
        <v>0</v>
      </c>
      <c r="X230" s="373">
        <f t="shared" si="56"/>
        <v>0</v>
      </c>
      <c r="Y230" s="382">
        <v>0</v>
      </c>
    </row>
    <row r="231" spans="1:26" ht="13.5" thickBot="1" x14ac:dyDescent="0.25">
      <c r="A231" s="379" t="s">
        <v>119</v>
      </c>
      <c r="B231" s="374">
        <f t="shared" ref="B231:X231" si="57">(C230+B230)*(C229-B229)/2</f>
        <v>0.27500000000000002</v>
      </c>
      <c r="C231" s="375">
        <f t="shared" si="57"/>
        <v>1.115</v>
      </c>
      <c r="D231" s="375">
        <f t="shared" si="57"/>
        <v>1.6249999999999998</v>
      </c>
      <c r="E231" s="375">
        <f t="shared" si="57"/>
        <v>1.5250000000000004</v>
      </c>
      <c r="F231" s="375">
        <f t="shared" si="57"/>
        <v>1.3650000000000002</v>
      </c>
      <c r="G231" s="375">
        <f t="shared" si="57"/>
        <v>6.5</v>
      </c>
      <c r="H231" s="375">
        <f t="shared" si="57"/>
        <v>13.8</v>
      </c>
      <c r="I231" s="375">
        <f t="shared" si="57"/>
        <v>14.149999999999997</v>
      </c>
      <c r="J231" s="375">
        <f t="shared" si="57"/>
        <v>14.150000000000004</v>
      </c>
      <c r="K231" s="375">
        <f t="shared" si="57"/>
        <v>27.399999999999995</v>
      </c>
      <c r="L231" s="375">
        <f t="shared" si="57"/>
        <v>19.500000000000004</v>
      </c>
      <c r="M231" s="375">
        <f t="shared" si="57"/>
        <v>7.6500000000000066</v>
      </c>
      <c r="N231" s="375">
        <f t="shared" si="57"/>
        <v>4.699999999999994</v>
      </c>
      <c r="O231" s="375">
        <f t="shared" si="57"/>
        <v>1.5000000000000013</v>
      </c>
      <c r="P231" s="375">
        <f t="shared" si="57"/>
        <v>0.3749999999999995</v>
      </c>
      <c r="Q231" s="375">
        <f t="shared" si="57"/>
        <v>0</v>
      </c>
      <c r="R231" s="375">
        <f t="shared" si="57"/>
        <v>0</v>
      </c>
      <c r="S231" s="375">
        <f t="shared" si="57"/>
        <v>0</v>
      </c>
      <c r="T231" s="375">
        <f t="shared" si="57"/>
        <v>0</v>
      </c>
      <c r="U231" s="375">
        <f t="shared" si="57"/>
        <v>0</v>
      </c>
      <c r="V231" s="375">
        <f t="shared" si="57"/>
        <v>0</v>
      </c>
      <c r="W231" s="375">
        <f t="shared" si="57"/>
        <v>0</v>
      </c>
      <c r="X231" s="375">
        <f t="shared" si="57"/>
        <v>0</v>
      </c>
      <c r="Y231" s="369"/>
    </row>
    <row r="232" spans="1:26" ht="13.5" thickBot="1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6" ht="13.5" thickBot="1" x14ac:dyDescent="0.25">
      <c r="A233" s="361" t="s">
        <v>396</v>
      </c>
      <c r="B233" s="359">
        <f>ROW(A233)</f>
        <v>233</v>
      </c>
      <c r="C233" s="363" t="s">
        <v>118</v>
      </c>
      <c r="D233" s="353">
        <f>SUM(B236:Y236)</f>
        <v>158.04815100000002</v>
      </c>
      <c r="E233" s="363" t="s">
        <v>117</v>
      </c>
      <c r="F233" s="354">
        <v>198</v>
      </c>
      <c r="G233" s="363" t="s">
        <v>59</v>
      </c>
      <c r="H233" s="64">
        <v>0.19450000000000001</v>
      </c>
      <c r="I233" s="363" t="s">
        <v>274</v>
      </c>
      <c r="J233" s="355">
        <f>H233-L233</f>
        <v>8.9600000000000013E-2</v>
      </c>
      <c r="K233" s="363" t="s">
        <v>275</v>
      </c>
      <c r="L233" s="64">
        <v>0.10489999999999999</v>
      </c>
      <c r="M233" s="363" t="s">
        <v>60</v>
      </c>
      <c r="N233" s="65">
        <v>93</v>
      </c>
      <c r="O233" s="363" t="s">
        <v>62</v>
      </c>
      <c r="P233" s="65">
        <v>93</v>
      </c>
      <c r="Q233" s="363" t="s">
        <v>63</v>
      </c>
      <c r="R233" s="65">
        <v>187</v>
      </c>
      <c r="S233" s="363" t="s">
        <v>64</v>
      </c>
      <c r="T233" s="65">
        <v>29</v>
      </c>
      <c r="U233" s="363" t="s">
        <v>57</v>
      </c>
      <c r="V233" s="66" t="s">
        <v>122</v>
      </c>
      <c r="W233" s="463" t="s">
        <v>398</v>
      </c>
      <c r="X233" s="465">
        <v>1.27</v>
      </c>
      <c r="Y233" s="463" t="s">
        <v>397</v>
      </c>
      <c r="Z233" s="358">
        <v>14</v>
      </c>
    </row>
    <row r="234" spans="1:26" x14ac:dyDescent="0.2">
      <c r="A234" s="362" t="s">
        <v>33</v>
      </c>
      <c r="B234" s="472">
        <v>0</v>
      </c>
      <c r="C234" s="472">
        <v>4.0000000000000001E-3</v>
      </c>
      <c r="D234" s="472">
        <v>2.1999999999999999E-2</v>
      </c>
      <c r="E234" s="472">
        <v>3.9E-2</v>
      </c>
      <c r="F234" s="472">
        <v>0.122</v>
      </c>
      <c r="G234" s="472">
        <v>0.23599999999999999</v>
      </c>
      <c r="H234" s="472">
        <v>0.58899999999999997</v>
      </c>
      <c r="I234" s="472">
        <v>0.80100000000000005</v>
      </c>
      <c r="J234" s="472">
        <v>1.0680000000000001</v>
      </c>
      <c r="K234" s="472">
        <v>1.1180000000000001</v>
      </c>
      <c r="L234" s="472">
        <v>1.145</v>
      </c>
      <c r="M234" s="472">
        <v>1.1739999999999999</v>
      </c>
      <c r="N234" s="472">
        <v>1.2110000000000001</v>
      </c>
      <c r="O234" s="472">
        <v>1.2470000000000001</v>
      </c>
      <c r="P234" s="472">
        <v>1.2989999999999999</v>
      </c>
      <c r="Q234" s="371">
        <v>2</v>
      </c>
      <c r="R234" s="371">
        <v>2</v>
      </c>
      <c r="S234" s="371">
        <f t="shared" ref="S234:X235" si="58">R234</f>
        <v>2</v>
      </c>
      <c r="T234" s="371">
        <f t="shared" si="58"/>
        <v>2</v>
      </c>
      <c r="U234" s="371">
        <f t="shared" si="58"/>
        <v>2</v>
      </c>
      <c r="V234" s="371">
        <f t="shared" si="58"/>
        <v>2</v>
      </c>
      <c r="W234" s="371">
        <f t="shared" si="58"/>
        <v>2</v>
      </c>
      <c r="X234" s="371">
        <f t="shared" si="58"/>
        <v>2</v>
      </c>
      <c r="Y234" s="381">
        <v>1000</v>
      </c>
    </row>
    <row r="235" spans="1:26" x14ac:dyDescent="0.2">
      <c r="A235" s="378" t="s">
        <v>34</v>
      </c>
      <c r="B235" s="472">
        <v>0</v>
      </c>
      <c r="C235" s="472">
        <v>15.683</v>
      </c>
      <c r="D235" s="472">
        <v>170.834</v>
      </c>
      <c r="E235" s="472">
        <v>116.877</v>
      </c>
      <c r="F235" s="472">
        <v>142.642</v>
      </c>
      <c r="G235" s="472">
        <v>149.73699999999999</v>
      </c>
      <c r="H235" s="472">
        <v>142.642</v>
      </c>
      <c r="I235" s="472">
        <v>131.25299999999999</v>
      </c>
      <c r="J235" s="472">
        <v>122.104</v>
      </c>
      <c r="K235" s="472">
        <v>107.91500000000001</v>
      </c>
      <c r="L235" s="472">
        <v>78.415999999999997</v>
      </c>
      <c r="M235" s="472">
        <v>43.128999999999998</v>
      </c>
      <c r="N235" s="472">
        <v>21.471</v>
      </c>
      <c r="O235" s="472">
        <v>8.7750000000000004</v>
      </c>
      <c r="P235" s="472">
        <v>0</v>
      </c>
      <c r="Q235" s="373">
        <v>0</v>
      </c>
      <c r="R235" s="373">
        <v>0</v>
      </c>
      <c r="S235" s="373">
        <f t="shared" si="58"/>
        <v>0</v>
      </c>
      <c r="T235" s="373">
        <f t="shared" si="58"/>
        <v>0</v>
      </c>
      <c r="U235" s="373">
        <f t="shared" si="58"/>
        <v>0</v>
      </c>
      <c r="V235" s="373">
        <f t="shared" si="58"/>
        <v>0</v>
      </c>
      <c r="W235" s="373">
        <f t="shared" si="58"/>
        <v>0</v>
      </c>
      <c r="X235" s="373">
        <f t="shared" si="58"/>
        <v>0</v>
      </c>
      <c r="Y235" s="382">
        <v>0</v>
      </c>
    </row>
    <row r="236" spans="1:26" ht="13.5" thickBot="1" x14ac:dyDescent="0.25">
      <c r="A236" s="379" t="s">
        <v>119</v>
      </c>
      <c r="B236" s="374">
        <f t="shared" ref="B236:X236" si="59">(C235+B235)*(C234-B234)/2</f>
        <v>3.1365999999999998E-2</v>
      </c>
      <c r="C236" s="375">
        <f t="shared" si="59"/>
        <v>1.6786529999999997</v>
      </c>
      <c r="D236" s="375">
        <f t="shared" si="59"/>
        <v>2.4455435000000003</v>
      </c>
      <c r="E236" s="375">
        <f t="shared" si="59"/>
        <v>10.770038499999998</v>
      </c>
      <c r="F236" s="375">
        <f t="shared" si="59"/>
        <v>16.665603000000001</v>
      </c>
      <c r="G236" s="375">
        <f t="shared" si="59"/>
        <v>51.604893500000003</v>
      </c>
      <c r="H236" s="375">
        <f t="shared" si="59"/>
        <v>29.03287000000001</v>
      </c>
      <c r="I236" s="375">
        <f t="shared" si="59"/>
        <v>33.823159499999996</v>
      </c>
      <c r="J236" s="375">
        <f t="shared" si="59"/>
        <v>5.7504750000000051</v>
      </c>
      <c r="K236" s="375">
        <f t="shared" si="59"/>
        <v>2.5154684999999923</v>
      </c>
      <c r="L236" s="375">
        <f t="shared" si="59"/>
        <v>1.7624024999999945</v>
      </c>
      <c r="M236" s="375">
        <f t="shared" si="59"/>
        <v>1.1951000000000045</v>
      </c>
      <c r="N236" s="375">
        <f t="shared" si="59"/>
        <v>0.54442800000000058</v>
      </c>
      <c r="O236" s="375">
        <f t="shared" si="59"/>
        <v>0.22814999999999924</v>
      </c>
      <c r="P236" s="375">
        <f t="shared" si="59"/>
        <v>0</v>
      </c>
      <c r="Q236" s="375">
        <f t="shared" si="59"/>
        <v>0</v>
      </c>
      <c r="R236" s="375">
        <f t="shared" si="59"/>
        <v>0</v>
      </c>
      <c r="S236" s="375">
        <f t="shared" si="59"/>
        <v>0</v>
      </c>
      <c r="T236" s="375">
        <f t="shared" si="59"/>
        <v>0</v>
      </c>
      <c r="U236" s="375">
        <f t="shared" si="59"/>
        <v>0</v>
      </c>
      <c r="V236" s="375">
        <f t="shared" si="59"/>
        <v>0</v>
      </c>
      <c r="W236" s="375">
        <f t="shared" si="59"/>
        <v>0</v>
      </c>
      <c r="X236" s="375">
        <f t="shared" si="59"/>
        <v>0</v>
      </c>
      <c r="Y236" s="369"/>
    </row>
    <row r="237" spans="1:26" ht="13.5" thickBot="1" x14ac:dyDescent="0.25">
      <c r="A237" s="6" t="s">
        <v>378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6" ht="13.5" thickBot="1" x14ac:dyDescent="0.25">
      <c r="A238" s="361" t="s">
        <v>383</v>
      </c>
      <c r="B238" s="359">
        <f>ROW(A238)</f>
        <v>238</v>
      </c>
      <c r="C238" s="363" t="s">
        <v>118</v>
      </c>
      <c r="D238" s="353">
        <f>SUM(B241:Y241)</f>
        <v>136.75235000000001</v>
      </c>
      <c r="E238" s="363" t="s">
        <v>117</v>
      </c>
      <c r="F238" s="354">
        <f>D238/g/J238</f>
        <v>152.35078513616639</v>
      </c>
      <c r="G238" s="363" t="s">
        <v>59</v>
      </c>
      <c r="H238" s="64">
        <v>0.21249999999999999</v>
      </c>
      <c r="I238" s="363" t="s">
        <v>274</v>
      </c>
      <c r="J238" s="355">
        <f>H238-L238</f>
        <v>9.1499999999999998E-2</v>
      </c>
      <c r="K238" s="363" t="s">
        <v>275</v>
      </c>
      <c r="L238" s="64">
        <v>0.121</v>
      </c>
      <c r="M238" s="363" t="s">
        <v>60</v>
      </c>
      <c r="N238" s="65">
        <v>63</v>
      </c>
      <c r="O238" s="363" t="s">
        <v>62</v>
      </c>
      <c r="P238" s="65">
        <v>114</v>
      </c>
      <c r="Q238" s="363" t="s">
        <v>63</v>
      </c>
      <c r="R238" s="65">
        <v>127</v>
      </c>
      <c r="S238" s="363" t="s">
        <v>64</v>
      </c>
      <c r="T238" s="65">
        <v>38</v>
      </c>
      <c r="U238" s="363" t="s">
        <v>57</v>
      </c>
      <c r="V238" s="66" t="s">
        <v>122</v>
      </c>
      <c r="W238" s="463" t="s">
        <v>398</v>
      </c>
      <c r="X238" s="465">
        <v>2.36</v>
      </c>
      <c r="Y238" s="463" t="s">
        <v>397</v>
      </c>
      <c r="Z238" s="358">
        <v>13</v>
      </c>
    </row>
    <row r="239" spans="1:26" x14ac:dyDescent="0.2">
      <c r="A239" s="362" t="s">
        <v>33</v>
      </c>
      <c r="B239" s="370">
        <v>0</v>
      </c>
      <c r="C239" s="371">
        <v>2.9000000000000001E-2</v>
      </c>
      <c r="D239" s="371">
        <v>4.5999999999999999E-2</v>
      </c>
      <c r="E239" s="371">
        <v>5.8000000000000003E-2</v>
      </c>
      <c r="F239" s="371">
        <v>8.4000000000000005E-2</v>
      </c>
      <c r="G239" s="371">
        <v>0.17100000000000001</v>
      </c>
      <c r="H239" s="371">
        <v>0.28000000000000003</v>
      </c>
      <c r="I239" s="371">
        <v>0.45500000000000002</v>
      </c>
      <c r="J239" s="371">
        <v>0.58599999999999997</v>
      </c>
      <c r="K239" s="371">
        <v>0.74099999999999999</v>
      </c>
      <c r="L239" s="371">
        <v>0.95199999999999996</v>
      </c>
      <c r="M239" s="371">
        <v>1.2170000000000001</v>
      </c>
      <c r="N239" s="371">
        <v>1.43</v>
      </c>
      <c r="O239" s="371">
        <v>1.6259999999999999</v>
      </c>
      <c r="P239" s="371">
        <v>1.8069999999999999</v>
      </c>
      <c r="Q239" s="371">
        <v>1.9590000000000001</v>
      </c>
      <c r="R239" s="371">
        <v>2.1040000000000001</v>
      </c>
      <c r="S239" s="371">
        <v>2.1680000000000001</v>
      </c>
      <c r="T239" s="371">
        <v>2.21</v>
      </c>
      <c r="U239" s="371">
        <v>2.2469999999999999</v>
      </c>
      <c r="V239" s="371">
        <v>2.3290000000000002</v>
      </c>
      <c r="W239" s="371">
        <f>2.4</f>
        <v>2.4</v>
      </c>
      <c r="X239" s="371">
        <f>W239</f>
        <v>2.4</v>
      </c>
      <c r="Y239" s="381">
        <v>1000</v>
      </c>
    </row>
    <row r="240" spans="1:26" x14ac:dyDescent="0.2">
      <c r="A240" s="378" t="s">
        <v>34</v>
      </c>
      <c r="B240" s="372">
        <v>0</v>
      </c>
      <c r="C240" s="373">
        <v>90.25</v>
      </c>
      <c r="D240" s="373">
        <v>69.17</v>
      </c>
      <c r="E240" s="373">
        <v>59.947000000000003</v>
      </c>
      <c r="F240" s="373">
        <v>47.167000000000002</v>
      </c>
      <c r="G240" s="373">
        <v>57.970999999999997</v>
      </c>
      <c r="H240" s="373">
        <v>59.552</v>
      </c>
      <c r="I240" s="373">
        <v>61.265000000000001</v>
      </c>
      <c r="J240" s="373">
        <v>61.66</v>
      </c>
      <c r="K240" s="373">
        <v>62.319000000000003</v>
      </c>
      <c r="L240" s="373">
        <v>63.768000000000001</v>
      </c>
      <c r="M240" s="373">
        <v>64.69</v>
      </c>
      <c r="N240" s="373">
        <v>63.768000000000001</v>
      </c>
      <c r="O240" s="373">
        <v>61.265000000000001</v>
      </c>
      <c r="P240" s="373">
        <v>58.103000000000002</v>
      </c>
      <c r="Q240" s="373">
        <v>53.887</v>
      </c>
      <c r="R240" s="373">
        <v>48.353000000000002</v>
      </c>
      <c r="S240" s="373">
        <v>47.563000000000002</v>
      </c>
      <c r="T240" s="373">
        <v>44.005000000000003</v>
      </c>
      <c r="U240" s="373">
        <v>37.286000000000001</v>
      </c>
      <c r="V240" s="373">
        <v>22.265999999999998</v>
      </c>
      <c r="W240" s="373">
        <v>0</v>
      </c>
      <c r="X240" s="373">
        <f>W240</f>
        <v>0</v>
      </c>
      <c r="Y240" s="382">
        <v>0</v>
      </c>
    </row>
    <row r="241" spans="1:26" ht="13.5" thickBot="1" x14ac:dyDescent="0.25">
      <c r="A241" s="379" t="s">
        <v>119</v>
      </c>
      <c r="B241" s="374">
        <f t="shared" ref="B241:X241" si="60">(C240+B240)*(C239-B239)/2</f>
        <v>1.3086250000000001</v>
      </c>
      <c r="C241" s="375">
        <f t="shared" si="60"/>
        <v>1.35507</v>
      </c>
      <c r="D241" s="375">
        <f t="shared" si="60"/>
        <v>0.77470200000000033</v>
      </c>
      <c r="E241" s="375">
        <f t="shared" si="60"/>
        <v>1.3924820000000002</v>
      </c>
      <c r="F241" s="375">
        <f t="shared" si="60"/>
        <v>4.5735030000000005</v>
      </c>
      <c r="G241" s="375">
        <f t="shared" si="60"/>
        <v>6.4050035000000003</v>
      </c>
      <c r="H241" s="375">
        <f t="shared" si="60"/>
        <v>10.5714875</v>
      </c>
      <c r="I241" s="375">
        <f t="shared" si="60"/>
        <v>8.0515874999999966</v>
      </c>
      <c r="J241" s="375">
        <f t="shared" si="60"/>
        <v>9.6083725000000015</v>
      </c>
      <c r="K241" s="375">
        <f t="shared" si="60"/>
        <v>13.302178499999998</v>
      </c>
      <c r="L241" s="375">
        <f t="shared" si="60"/>
        <v>17.020685000000007</v>
      </c>
      <c r="M241" s="375">
        <f t="shared" si="60"/>
        <v>13.68077699999999</v>
      </c>
      <c r="N241" s="375">
        <f t="shared" si="60"/>
        <v>12.253233999999997</v>
      </c>
      <c r="O241" s="375">
        <f t="shared" si="60"/>
        <v>10.802804000000002</v>
      </c>
      <c r="P241" s="375">
        <f t="shared" si="60"/>
        <v>8.5112400000000079</v>
      </c>
      <c r="Q241" s="375">
        <f t="shared" si="60"/>
        <v>7.4124000000000017</v>
      </c>
      <c r="R241" s="375">
        <f t="shared" si="60"/>
        <v>3.0693120000000027</v>
      </c>
      <c r="S241" s="375">
        <f t="shared" si="60"/>
        <v>1.9229279999999918</v>
      </c>
      <c r="T241" s="375">
        <f t="shared" si="60"/>
        <v>1.5038834999999968</v>
      </c>
      <c r="U241" s="375">
        <f t="shared" si="60"/>
        <v>2.4416320000000087</v>
      </c>
      <c r="V241" s="375">
        <f t="shared" si="60"/>
        <v>0.7904429999999969</v>
      </c>
      <c r="W241" s="375">
        <f t="shared" si="60"/>
        <v>0</v>
      </c>
      <c r="X241" s="375">
        <f t="shared" si="60"/>
        <v>0</v>
      </c>
      <c r="Y241" s="369"/>
    </row>
    <row r="242" spans="1:26" ht="13.5" thickBot="1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6" ht="13.5" thickBot="1" x14ac:dyDescent="0.25">
      <c r="A243" s="361" t="s">
        <v>384</v>
      </c>
      <c r="B243" s="359">
        <f>ROW(A243)</f>
        <v>243</v>
      </c>
      <c r="C243" s="363" t="s">
        <v>118</v>
      </c>
      <c r="D243" s="353">
        <f>SUM(B246:Y246)</f>
        <v>127.06944999999999</v>
      </c>
      <c r="E243" s="363" t="s">
        <v>117</v>
      </c>
      <c r="F243" s="354">
        <f>D243/g/J243</f>
        <v>180.65624835614466</v>
      </c>
      <c r="G243" s="363" t="s">
        <v>59</v>
      </c>
      <c r="H243" s="64">
        <v>0.18840000000000001</v>
      </c>
      <c r="I243" s="363" t="s">
        <v>274</v>
      </c>
      <c r="J243" s="355">
        <f>H243-L243</f>
        <v>7.1700000000000014E-2</v>
      </c>
      <c r="K243" s="363" t="s">
        <v>275</v>
      </c>
      <c r="L243" s="64">
        <v>0.1167</v>
      </c>
      <c r="M243" s="363" t="s">
        <v>60</v>
      </c>
      <c r="N243" s="65">
        <v>63</v>
      </c>
      <c r="O243" s="363" t="s">
        <v>62</v>
      </c>
      <c r="P243" s="65">
        <v>114</v>
      </c>
      <c r="Q243" s="363" t="s">
        <v>63</v>
      </c>
      <c r="R243" s="65">
        <v>127</v>
      </c>
      <c r="S243" s="363" t="s">
        <v>64</v>
      </c>
      <c r="T243" s="65">
        <v>38</v>
      </c>
      <c r="U243" s="363" t="s">
        <v>57</v>
      </c>
      <c r="V243" s="66" t="s">
        <v>122</v>
      </c>
      <c r="W243" s="463" t="s">
        <v>398</v>
      </c>
      <c r="X243" s="465">
        <v>0.69</v>
      </c>
      <c r="Y243" s="463" t="s">
        <v>397</v>
      </c>
      <c r="Z243" s="358">
        <v>12</v>
      </c>
    </row>
    <row r="244" spans="1:26" x14ac:dyDescent="0.2">
      <c r="A244" s="362" t="s">
        <v>33</v>
      </c>
      <c r="B244" s="370">
        <v>0</v>
      </c>
      <c r="C244" s="371">
        <v>0.01</v>
      </c>
      <c r="D244" s="371">
        <v>0.02</v>
      </c>
      <c r="E244" s="371">
        <v>0.05</v>
      </c>
      <c r="F244" s="371">
        <v>0.1</v>
      </c>
      <c r="G244" s="371">
        <v>0.2</v>
      </c>
      <c r="H244" s="371">
        <v>0.3</v>
      </c>
      <c r="I244" s="371">
        <v>0.35</v>
      </c>
      <c r="J244" s="371">
        <v>0.4</v>
      </c>
      <c r="K244" s="371">
        <v>0.45</v>
      </c>
      <c r="L244" s="371">
        <v>0.5</v>
      </c>
      <c r="M244" s="371">
        <v>0.55000000000000004</v>
      </c>
      <c r="N244" s="371">
        <v>0.6</v>
      </c>
      <c r="O244" s="371">
        <v>0.61</v>
      </c>
      <c r="P244" s="371">
        <v>0.63</v>
      </c>
      <c r="Q244" s="371">
        <v>0.64</v>
      </c>
      <c r="R244" s="371">
        <v>0.65</v>
      </c>
      <c r="S244" s="371">
        <v>0.67</v>
      </c>
      <c r="T244" s="371">
        <v>0.68</v>
      </c>
      <c r="U244" s="371">
        <v>0.69</v>
      </c>
      <c r="V244" s="371">
        <f t="shared" ref="V244:X245" si="61">U244</f>
        <v>0.69</v>
      </c>
      <c r="W244" s="371">
        <f t="shared" si="61"/>
        <v>0.69</v>
      </c>
      <c r="X244" s="371">
        <v>2</v>
      </c>
      <c r="Y244" s="381">
        <v>1000</v>
      </c>
    </row>
    <row r="245" spans="1:26" x14ac:dyDescent="0.2">
      <c r="A245" s="378" t="s">
        <v>34</v>
      </c>
      <c r="B245" s="372">
        <v>0</v>
      </c>
      <c r="C245" s="373">
        <v>108.72</v>
      </c>
      <c r="D245" s="373">
        <v>131.19</v>
      </c>
      <c r="E245" s="373">
        <v>153.13999999999999</v>
      </c>
      <c r="F245" s="373">
        <v>168.97</v>
      </c>
      <c r="G245" s="373">
        <v>189.92</v>
      </c>
      <c r="H245" s="373">
        <v>199.95</v>
      </c>
      <c r="I245" s="373">
        <v>203.59</v>
      </c>
      <c r="J245" s="373">
        <v>205.03</v>
      </c>
      <c r="K245" s="373">
        <v>202.6</v>
      </c>
      <c r="L245" s="373">
        <v>203.06</v>
      </c>
      <c r="M245" s="373">
        <v>199.34</v>
      </c>
      <c r="N245" s="373">
        <v>194.71</v>
      </c>
      <c r="O245" s="373">
        <v>194.1</v>
      </c>
      <c r="P245" s="373">
        <v>193.49</v>
      </c>
      <c r="Q245" s="373">
        <v>193.68</v>
      </c>
      <c r="R245" s="373">
        <v>202.91</v>
      </c>
      <c r="S245" s="373">
        <v>163.38999999999999</v>
      </c>
      <c r="T245" s="373">
        <v>80.44</v>
      </c>
      <c r="U245" s="373">
        <v>0</v>
      </c>
      <c r="V245" s="373">
        <f t="shared" si="61"/>
        <v>0</v>
      </c>
      <c r="W245" s="373">
        <f t="shared" si="61"/>
        <v>0</v>
      </c>
      <c r="X245" s="373">
        <f t="shared" si="61"/>
        <v>0</v>
      </c>
      <c r="Y245" s="382">
        <v>0</v>
      </c>
    </row>
    <row r="246" spans="1:26" ht="13.5" thickBot="1" x14ac:dyDescent="0.25">
      <c r="A246" s="379" t="s">
        <v>119</v>
      </c>
      <c r="B246" s="374">
        <f t="shared" ref="B246:X246" si="62">(C245+B245)*(C244-B244)/2</f>
        <v>0.54359999999999997</v>
      </c>
      <c r="C246" s="375">
        <f t="shared" si="62"/>
        <v>1.1995500000000001</v>
      </c>
      <c r="D246" s="375">
        <f t="shared" si="62"/>
        <v>4.2649499999999998</v>
      </c>
      <c r="E246" s="375">
        <f t="shared" si="62"/>
        <v>8.0527500000000014</v>
      </c>
      <c r="F246" s="375">
        <f t="shared" si="62"/>
        <v>17.944500000000001</v>
      </c>
      <c r="G246" s="375">
        <f t="shared" si="62"/>
        <v>19.493499999999997</v>
      </c>
      <c r="H246" s="375">
        <f t="shared" si="62"/>
        <v>10.088499999999996</v>
      </c>
      <c r="I246" s="375">
        <f t="shared" si="62"/>
        <v>10.215500000000009</v>
      </c>
      <c r="J246" s="375">
        <f t="shared" si="62"/>
        <v>10.190749999999998</v>
      </c>
      <c r="K246" s="375">
        <f t="shared" si="62"/>
        <v>10.141499999999997</v>
      </c>
      <c r="L246" s="375">
        <f t="shared" si="62"/>
        <v>10.060000000000008</v>
      </c>
      <c r="M246" s="375">
        <f t="shared" si="62"/>
        <v>9.8512499999999878</v>
      </c>
      <c r="N246" s="375">
        <f t="shared" si="62"/>
        <v>1.9440500000000018</v>
      </c>
      <c r="O246" s="375">
        <f t="shared" si="62"/>
        <v>3.8759000000000037</v>
      </c>
      <c r="P246" s="375">
        <f t="shared" si="62"/>
        <v>1.9358500000000018</v>
      </c>
      <c r="Q246" s="375">
        <f t="shared" si="62"/>
        <v>1.982950000000002</v>
      </c>
      <c r="R246" s="375">
        <f t="shared" si="62"/>
        <v>3.6630000000000029</v>
      </c>
      <c r="S246" s="375">
        <f t="shared" si="62"/>
        <v>1.2191500000000011</v>
      </c>
      <c r="T246" s="375">
        <f t="shared" si="62"/>
        <v>0.40219999999999589</v>
      </c>
      <c r="U246" s="375">
        <f t="shared" si="62"/>
        <v>0</v>
      </c>
      <c r="V246" s="375">
        <f t="shared" si="62"/>
        <v>0</v>
      </c>
      <c r="W246" s="375">
        <f t="shared" si="62"/>
        <v>0</v>
      </c>
      <c r="X246" s="375">
        <f t="shared" si="62"/>
        <v>0</v>
      </c>
      <c r="Y246" s="369"/>
    </row>
    <row r="247" spans="1:26" ht="13.5" thickBo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6" ht="13.5" thickBot="1" x14ac:dyDescent="0.25">
      <c r="A248" s="361" t="s">
        <v>392</v>
      </c>
      <c r="B248" s="359">
        <f>ROW(A248)</f>
        <v>248</v>
      </c>
      <c r="C248" s="363" t="s">
        <v>118</v>
      </c>
      <c r="D248" s="353">
        <f>SUM(B251:Y251)</f>
        <v>142.7236025</v>
      </c>
      <c r="E248" s="363" t="s">
        <v>117</v>
      </c>
      <c r="F248" s="354">
        <v>208</v>
      </c>
      <c r="G248" s="363" t="s">
        <v>59</v>
      </c>
      <c r="H248" s="64">
        <v>0.19700000000000001</v>
      </c>
      <c r="I248" s="363" t="s">
        <v>274</v>
      </c>
      <c r="J248" s="355">
        <f>H248-L248</f>
        <v>7.0000000000000007E-2</v>
      </c>
      <c r="K248" s="363" t="s">
        <v>275</v>
      </c>
      <c r="L248" s="64">
        <v>0.127</v>
      </c>
      <c r="M248" s="363" t="s">
        <v>60</v>
      </c>
      <c r="N248" s="65">
        <v>63</v>
      </c>
      <c r="O248" s="363" t="s">
        <v>62</v>
      </c>
      <c r="P248" s="65">
        <v>114</v>
      </c>
      <c r="Q248" s="363" t="s">
        <v>63</v>
      </c>
      <c r="R248" s="65">
        <v>127</v>
      </c>
      <c r="S248" s="363" t="s">
        <v>64</v>
      </c>
      <c r="T248" s="65">
        <v>38</v>
      </c>
      <c r="U248" s="363" t="s">
        <v>57</v>
      </c>
      <c r="V248" s="66" t="s">
        <v>122</v>
      </c>
      <c r="W248" s="463" t="s">
        <v>398</v>
      </c>
      <c r="X248" s="465">
        <v>1.8</v>
      </c>
      <c r="Y248" s="463" t="s">
        <v>397</v>
      </c>
      <c r="Z248" s="358">
        <v>15</v>
      </c>
    </row>
    <row r="249" spans="1:26" x14ac:dyDescent="0.2">
      <c r="A249" s="362" t="s">
        <v>33</v>
      </c>
      <c r="B249" s="370">
        <v>0</v>
      </c>
      <c r="C249" s="370">
        <v>6.0000000000000001E-3</v>
      </c>
      <c r="D249" s="371">
        <v>1.7999999999999999E-2</v>
      </c>
      <c r="E249" s="371">
        <v>3.5999999999999997E-2</v>
      </c>
      <c r="F249" s="371">
        <v>4.7E-2</v>
      </c>
      <c r="G249" s="371">
        <v>8.4000000000000005E-2</v>
      </c>
      <c r="H249" s="371">
        <v>0.13500000000000001</v>
      </c>
      <c r="I249" s="371">
        <v>0.23799999999999999</v>
      </c>
      <c r="J249" s="371">
        <v>0.438</v>
      </c>
      <c r="K249" s="371">
        <v>0.63</v>
      </c>
      <c r="L249" s="371">
        <v>0.85899999999999999</v>
      </c>
      <c r="M249" s="371">
        <v>1.2829999999999999</v>
      </c>
      <c r="N249" s="371">
        <v>1.4470000000000001</v>
      </c>
      <c r="O249" s="371">
        <v>1.643</v>
      </c>
      <c r="P249" s="371">
        <v>1.7130000000000001</v>
      </c>
      <c r="Q249" s="371">
        <v>1.7430000000000001</v>
      </c>
      <c r="R249" s="371">
        <v>1.79</v>
      </c>
      <c r="S249" s="371">
        <v>1.8180000000000001</v>
      </c>
      <c r="T249" s="371">
        <v>1.8520000000000001</v>
      </c>
      <c r="U249" s="371">
        <v>2</v>
      </c>
      <c r="V249" s="371">
        <f t="shared" ref="V249:X250" si="63">U249</f>
        <v>2</v>
      </c>
      <c r="W249" s="371">
        <f t="shared" si="63"/>
        <v>2</v>
      </c>
      <c r="X249" s="371">
        <f t="shared" si="63"/>
        <v>2</v>
      </c>
      <c r="Y249" s="381">
        <v>1000</v>
      </c>
    </row>
    <row r="250" spans="1:26" x14ac:dyDescent="0.2">
      <c r="A250" s="378" t="s">
        <v>34</v>
      </c>
      <c r="B250" s="372">
        <v>0</v>
      </c>
      <c r="C250" s="372">
        <v>104.068</v>
      </c>
      <c r="D250" s="373">
        <v>137.928</v>
      </c>
      <c r="E250" s="373">
        <v>70.706999999999994</v>
      </c>
      <c r="F250" s="373">
        <v>62.241999999999997</v>
      </c>
      <c r="G250" s="373">
        <v>73.694000000000003</v>
      </c>
      <c r="H250" s="373">
        <v>78.176000000000002</v>
      </c>
      <c r="I250" s="373">
        <v>84.150999999999996</v>
      </c>
      <c r="J250" s="373">
        <v>89.628</v>
      </c>
      <c r="K250" s="373">
        <v>88.135000000000005</v>
      </c>
      <c r="L250" s="373">
        <v>87.138999999999996</v>
      </c>
      <c r="M250" s="373">
        <v>77.180000000000007</v>
      </c>
      <c r="N250" s="373">
        <v>70.706999999999994</v>
      </c>
      <c r="O250" s="373">
        <v>67.718999999999994</v>
      </c>
      <c r="P250" s="373">
        <v>64.233999999999995</v>
      </c>
      <c r="Q250" s="373">
        <v>54.274999999999999</v>
      </c>
      <c r="R250" s="373">
        <v>18.423999999999999</v>
      </c>
      <c r="S250" s="373">
        <v>6.4729999999999999</v>
      </c>
      <c r="T250" s="373">
        <v>0</v>
      </c>
      <c r="U250" s="373">
        <v>0</v>
      </c>
      <c r="V250" s="373">
        <f t="shared" si="63"/>
        <v>0</v>
      </c>
      <c r="W250" s="373">
        <f t="shared" si="63"/>
        <v>0</v>
      </c>
      <c r="X250" s="373">
        <f t="shared" si="63"/>
        <v>0</v>
      </c>
      <c r="Y250" s="382">
        <v>0</v>
      </c>
    </row>
    <row r="251" spans="1:26" ht="13.5" thickBot="1" x14ac:dyDescent="0.25">
      <c r="A251" s="379" t="s">
        <v>119</v>
      </c>
      <c r="B251" s="374">
        <f t="shared" ref="B251:X251" si="64">(C250+B250)*(C249-B249)/2</f>
        <v>0.31220399999999998</v>
      </c>
      <c r="C251" s="375">
        <f t="shared" si="64"/>
        <v>1.4519759999999997</v>
      </c>
      <c r="D251" s="375">
        <f t="shared" si="64"/>
        <v>1.8777149999999998</v>
      </c>
      <c r="E251" s="375">
        <f t="shared" si="64"/>
        <v>0.73121950000000013</v>
      </c>
      <c r="F251" s="375">
        <f t="shared" si="64"/>
        <v>2.5148160000000006</v>
      </c>
      <c r="G251" s="375">
        <f t="shared" si="64"/>
        <v>3.8726850000000006</v>
      </c>
      <c r="H251" s="375">
        <f t="shared" si="64"/>
        <v>8.3598404999999989</v>
      </c>
      <c r="I251" s="375">
        <f t="shared" si="64"/>
        <v>17.3779</v>
      </c>
      <c r="J251" s="375">
        <f t="shared" si="64"/>
        <v>17.065248</v>
      </c>
      <c r="K251" s="375">
        <f t="shared" si="64"/>
        <v>20.068873</v>
      </c>
      <c r="L251" s="375">
        <f t="shared" si="64"/>
        <v>34.835628</v>
      </c>
      <c r="M251" s="375">
        <f t="shared" si="64"/>
        <v>12.126734000000011</v>
      </c>
      <c r="N251" s="375">
        <f t="shared" si="64"/>
        <v>13.565747999999996</v>
      </c>
      <c r="O251" s="375">
        <f t="shared" si="64"/>
        <v>4.6183550000000029</v>
      </c>
      <c r="P251" s="375">
        <f t="shared" si="64"/>
        <v>1.7776350000000014</v>
      </c>
      <c r="Q251" s="375">
        <f t="shared" si="64"/>
        <v>1.7084264999999974</v>
      </c>
      <c r="R251" s="375">
        <f t="shared" si="64"/>
        <v>0.34855800000000031</v>
      </c>
      <c r="S251" s="375">
        <f t="shared" si="64"/>
        <v>0.1100410000000001</v>
      </c>
      <c r="T251" s="375">
        <f t="shared" si="64"/>
        <v>0</v>
      </c>
      <c r="U251" s="375">
        <f t="shared" si="64"/>
        <v>0</v>
      </c>
      <c r="V251" s="375">
        <f t="shared" si="64"/>
        <v>0</v>
      </c>
      <c r="W251" s="375">
        <f t="shared" si="64"/>
        <v>0</v>
      </c>
      <c r="X251" s="375">
        <f t="shared" si="64"/>
        <v>0</v>
      </c>
      <c r="Y251" s="369"/>
    </row>
    <row r="252" spans="1:26" ht="13.5" thickBo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6" ht="13.5" thickBot="1" x14ac:dyDescent="0.25">
      <c r="A253" s="361" t="s">
        <v>277</v>
      </c>
      <c r="B253" s="360">
        <f>ROW(A253)</f>
        <v>253</v>
      </c>
      <c r="C253" s="363" t="s">
        <v>118</v>
      </c>
      <c r="D253" s="353">
        <f>SUM(B256:Y256)</f>
        <v>33.500000000000007</v>
      </c>
      <c r="E253" s="363" t="s">
        <v>117</v>
      </c>
      <c r="F253" s="354">
        <f>D253/g/J253</f>
        <v>68.297655453618759</v>
      </c>
      <c r="G253" s="363" t="s">
        <v>59</v>
      </c>
      <c r="H253" s="64">
        <v>8.5000000000000006E-2</v>
      </c>
      <c r="I253" s="363" t="s">
        <v>274</v>
      </c>
      <c r="J253" s="355">
        <f>H253-L253</f>
        <v>0.05</v>
      </c>
      <c r="K253" s="363" t="s">
        <v>275</v>
      </c>
      <c r="L253" s="64">
        <v>3.5000000000000003E-2</v>
      </c>
      <c r="M253" s="363" t="s">
        <v>60</v>
      </c>
      <c r="N253" s="65">
        <v>20</v>
      </c>
      <c r="O253" s="363" t="s">
        <v>62</v>
      </c>
      <c r="P253" s="65">
        <v>20</v>
      </c>
      <c r="Q253" s="363" t="s">
        <v>63</v>
      </c>
      <c r="R253" s="65">
        <v>39</v>
      </c>
      <c r="S253" s="363" t="s">
        <v>64</v>
      </c>
      <c r="T253" s="65">
        <v>39</v>
      </c>
      <c r="U253" s="363" t="s">
        <v>57</v>
      </c>
      <c r="V253" s="66" t="s">
        <v>405</v>
      </c>
      <c r="W253" s="12"/>
      <c r="X253" s="12"/>
      <c r="Y253" s="12"/>
    </row>
    <row r="254" spans="1:26" x14ac:dyDescent="0.2">
      <c r="A254" s="362" t="s">
        <v>33</v>
      </c>
      <c r="B254" s="370">
        <v>0</v>
      </c>
      <c r="C254" s="371">
        <v>0.05</v>
      </c>
      <c r="D254" s="371">
        <v>0.1</v>
      </c>
      <c r="E254" s="371">
        <v>0.25</v>
      </c>
      <c r="F254" s="371">
        <v>0.3</v>
      </c>
      <c r="G254" s="371">
        <v>0.35</v>
      </c>
      <c r="H254" s="371">
        <v>0.45</v>
      </c>
      <c r="I254" s="371">
        <v>0.55000000000000004</v>
      </c>
      <c r="J254" s="371">
        <v>3.5</v>
      </c>
      <c r="K254" s="371">
        <v>3.6</v>
      </c>
      <c r="L254" s="371">
        <v>3.6</v>
      </c>
      <c r="M254" s="371">
        <v>3.6</v>
      </c>
      <c r="N254" s="371">
        <v>3.6</v>
      </c>
      <c r="O254" s="371">
        <v>3.6</v>
      </c>
      <c r="P254" s="371">
        <v>3.6</v>
      </c>
      <c r="Q254" s="371">
        <v>3.6</v>
      </c>
      <c r="R254" s="371">
        <v>3.6</v>
      </c>
      <c r="S254" s="371">
        <v>3.6</v>
      </c>
      <c r="T254" s="371">
        <v>3.6</v>
      </c>
      <c r="U254" s="371">
        <v>3.6</v>
      </c>
      <c r="V254" s="371">
        <v>3.6</v>
      </c>
      <c r="W254" s="371">
        <v>3.6</v>
      </c>
      <c r="X254" s="371">
        <v>3.6</v>
      </c>
      <c r="Y254" s="381">
        <v>1000</v>
      </c>
    </row>
    <row r="255" spans="1:26" x14ac:dyDescent="0.2">
      <c r="A255" s="378" t="s">
        <v>34</v>
      </c>
      <c r="B255" s="372">
        <v>0</v>
      </c>
      <c r="C255" s="373">
        <v>68</v>
      </c>
      <c r="D255" s="373">
        <v>62</v>
      </c>
      <c r="E255" s="373">
        <v>60</v>
      </c>
      <c r="F255" s="373">
        <v>39</v>
      </c>
      <c r="G255" s="373">
        <v>38</v>
      </c>
      <c r="H255" s="373">
        <v>9</v>
      </c>
      <c r="I255" s="373">
        <v>5</v>
      </c>
      <c r="J255" s="373">
        <v>3</v>
      </c>
      <c r="K255" s="373">
        <v>0</v>
      </c>
      <c r="L255" s="373">
        <v>0</v>
      </c>
      <c r="M255" s="373">
        <v>0</v>
      </c>
      <c r="N255" s="373">
        <v>0</v>
      </c>
      <c r="O255" s="373">
        <v>0</v>
      </c>
      <c r="P255" s="373">
        <v>0</v>
      </c>
      <c r="Q255" s="373">
        <v>0</v>
      </c>
      <c r="R255" s="373">
        <v>0</v>
      </c>
      <c r="S255" s="373">
        <v>0</v>
      </c>
      <c r="T255" s="373">
        <v>0</v>
      </c>
      <c r="U255" s="373">
        <v>0</v>
      </c>
      <c r="V255" s="373">
        <v>0</v>
      </c>
      <c r="W255" s="373">
        <v>0</v>
      </c>
      <c r="X255" s="373">
        <v>0</v>
      </c>
      <c r="Y255" s="382">
        <v>0</v>
      </c>
    </row>
    <row r="256" spans="1:26" ht="13.5" thickBot="1" x14ac:dyDescent="0.25">
      <c r="A256" s="379" t="s">
        <v>119</v>
      </c>
      <c r="B256" s="374">
        <f t="shared" ref="B256:V256" si="65">(C255+B255)*(C254-B254)/2</f>
        <v>1.7000000000000002</v>
      </c>
      <c r="C256" s="375">
        <f t="shared" si="65"/>
        <v>3.25</v>
      </c>
      <c r="D256" s="375">
        <f t="shared" si="65"/>
        <v>9.15</v>
      </c>
      <c r="E256" s="375">
        <f t="shared" si="65"/>
        <v>2.4749999999999996</v>
      </c>
      <c r="F256" s="375">
        <f t="shared" si="65"/>
        <v>1.9249999999999996</v>
      </c>
      <c r="G256" s="375">
        <f t="shared" si="65"/>
        <v>2.350000000000001</v>
      </c>
      <c r="H256" s="375">
        <f t="shared" si="65"/>
        <v>0.70000000000000018</v>
      </c>
      <c r="I256" s="375">
        <f t="shared" si="65"/>
        <v>11.8</v>
      </c>
      <c r="J256" s="375">
        <f t="shared" si="65"/>
        <v>0.15000000000000013</v>
      </c>
      <c r="K256" s="375">
        <f t="shared" si="65"/>
        <v>0</v>
      </c>
      <c r="L256" s="375">
        <f t="shared" si="65"/>
        <v>0</v>
      </c>
      <c r="M256" s="375">
        <f t="shared" si="65"/>
        <v>0</v>
      </c>
      <c r="N256" s="375">
        <f t="shared" si="65"/>
        <v>0</v>
      </c>
      <c r="O256" s="375">
        <f t="shared" si="65"/>
        <v>0</v>
      </c>
      <c r="P256" s="375">
        <f t="shared" si="65"/>
        <v>0</v>
      </c>
      <c r="Q256" s="375">
        <f t="shared" si="65"/>
        <v>0</v>
      </c>
      <c r="R256" s="375">
        <f t="shared" si="65"/>
        <v>0</v>
      </c>
      <c r="S256" s="375">
        <f t="shared" si="65"/>
        <v>0</v>
      </c>
      <c r="T256" s="375">
        <f t="shared" si="65"/>
        <v>0</v>
      </c>
      <c r="U256" s="375">
        <f t="shared" si="65"/>
        <v>0</v>
      </c>
      <c r="V256" s="375">
        <f t="shared" si="65"/>
        <v>0</v>
      </c>
      <c r="W256" s="375">
        <f>(X255+W255)*(X254-W254)/2</f>
        <v>0</v>
      </c>
      <c r="X256" s="375">
        <f>(Y255+X255)*(Y254-X254)/2</f>
        <v>0</v>
      </c>
      <c r="Y256" s="369"/>
    </row>
    <row r="257" spans="1:25" ht="13.5" thickBo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3.5" thickBot="1" x14ac:dyDescent="0.25">
      <c r="A258" s="361" t="s">
        <v>278</v>
      </c>
      <c r="B258" s="359">
        <f>ROW(A258)</f>
        <v>258</v>
      </c>
      <c r="C258" s="363" t="s">
        <v>118</v>
      </c>
      <c r="D258" s="353">
        <f>SUM(B261:Y261)</f>
        <v>145.46</v>
      </c>
      <c r="E258" s="363" t="s">
        <v>117</v>
      </c>
      <c r="F258" s="354">
        <f>D258/g/J258</f>
        <v>211.82466870540264</v>
      </c>
      <c r="G258" s="363" t="s">
        <v>59</v>
      </c>
      <c r="H258" s="64">
        <v>0.22</v>
      </c>
      <c r="I258" s="363" t="s">
        <v>274</v>
      </c>
      <c r="J258" s="355">
        <f>H258-L258</f>
        <v>7.0000000000000007E-2</v>
      </c>
      <c r="K258" s="363" t="s">
        <v>275</v>
      </c>
      <c r="L258" s="64">
        <v>0.15</v>
      </c>
      <c r="M258" s="363" t="s">
        <v>60</v>
      </c>
      <c r="N258" s="65">
        <v>50</v>
      </c>
      <c r="O258" s="363" t="s">
        <v>62</v>
      </c>
      <c r="P258" s="65">
        <v>55</v>
      </c>
      <c r="Q258" s="363" t="s">
        <v>63</v>
      </c>
      <c r="R258" s="65">
        <v>76</v>
      </c>
      <c r="S258" s="363" t="s">
        <v>64</v>
      </c>
      <c r="T258" s="65">
        <v>40</v>
      </c>
      <c r="U258" s="363" t="s">
        <v>57</v>
      </c>
      <c r="V258" s="66" t="s">
        <v>405</v>
      </c>
      <c r="W258" s="12"/>
      <c r="X258" s="12"/>
      <c r="Y258" s="12"/>
    </row>
    <row r="259" spans="1:25" x14ac:dyDescent="0.2">
      <c r="A259" s="362" t="s">
        <v>33</v>
      </c>
      <c r="B259" s="370">
        <v>0</v>
      </c>
      <c r="C259" s="371">
        <v>0.02</v>
      </c>
      <c r="D259" s="371">
        <v>0.04</v>
      </c>
      <c r="E259" s="371">
        <v>0.05</v>
      </c>
      <c r="F259" s="371">
        <v>0.06</v>
      </c>
      <c r="G259" s="371">
        <v>0.94</v>
      </c>
      <c r="H259" s="377">
        <v>0.94200000000000006</v>
      </c>
      <c r="I259" s="371">
        <v>0.95</v>
      </c>
      <c r="J259" s="371">
        <v>0.95</v>
      </c>
      <c r="K259" s="371">
        <v>0.95</v>
      </c>
      <c r="L259" s="371">
        <v>0.95</v>
      </c>
      <c r="M259" s="371">
        <v>0.95</v>
      </c>
      <c r="N259" s="371">
        <v>0.95</v>
      </c>
      <c r="O259" s="371">
        <v>0.95</v>
      </c>
      <c r="P259" s="371">
        <v>0.95</v>
      </c>
      <c r="Q259" s="371">
        <v>0.95</v>
      </c>
      <c r="R259" s="371">
        <v>0.95</v>
      </c>
      <c r="S259" s="371">
        <v>0.95</v>
      </c>
      <c r="T259" s="371">
        <v>0.95</v>
      </c>
      <c r="U259" s="371">
        <v>0.95</v>
      </c>
      <c r="V259" s="371">
        <v>0.95</v>
      </c>
      <c r="W259" s="371">
        <v>0.95</v>
      </c>
      <c r="X259" s="371">
        <v>2</v>
      </c>
      <c r="Y259" s="381">
        <v>1000</v>
      </c>
    </row>
    <row r="260" spans="1:25" x14ac:dyDescent="0.2">
      <c r="A260" s="378" t="s">
        <v>34</v>
      </c>
      <c r="B260" s="372">
        <v>0</v>
      </c>
      <c r="C260" s="373">
        <v>320</v>
      </c>
      <c r="D260" s="373">
        <v>170</v>
      </c>
      <c r="E260" s="373">
        <v>205</v>
      </c>
      <c r="F260" s="373">
        <v>217</v>
      </c>
      <c r="G260" s="373">
        <v>85</v>
      </c>
      <c r="H260" s="373">
        <v>82</v>
      </c>
      <c r="I260" s="373">
        <v>0</v>
      </c>
      <c r="J260" s="373">
        <v>0</v>
      </c>
      <c r="K260" s="373">
        <v>0</v>
      </c>
      <c r="L260" s="373">
        <v>0</v>
      </c>
      <c r="M260" s="373">
        <v>0</v>
      </c>
      <c r="N260" s="373">
        <v>0</v>
      </c>
      <c r="O260" s="373">
        <v>0</v>
      </c>
      <c r="P260" s="373">
        <v>0</v>
      </c>
      <c r="Q260" s="373">
        <v>0</v>
      </c>
      <c r="R260" s="373">
        <v>0</v>
      </c>
      <c r="S260" s="373">
        <v>0</v>
      </c>
      <c r="T260" s="373">
        <v>0</v>
      </c>
      <c r="U260" s="373">
        <v>0</v>
      </c>
      <c r="V260" s="373">
        <v>0</v>
      </c>
      <c r="W260" s="373">
        <v>0</v>
      </c>
      <c r="X260" s="373">
        <v>0</v>
      </c>
      <c r="Y260" s="382">
        <v>0</v>
      </c>
    </row>
    <row r="261" spans="1:25" ht="13.5" thickBot="1" x14ac:dyDescent="0.25">
      <c r="A261" s="379" t="s">
        <v>119</v>
      </c>
      <c r="B261" s="374">
        <f t="shared" ref="B261:H261" si="66">(C260+B260)*(C259-B259)/2</f>
        <v>3.2</v>
      </c>
      <c r="C261" s="375">
        <f t="shared" si="66"/>
        <v>4.9000000000000004</v>
      </c>
      <c r="D261" s="375">
        <f t="shared" si="66"/>
        <v>1.8750000000000004</v>
      </c>
      <c r="E261" s="375">
        <f t="shared" si="66"/>
        <v>2.109999999999999</v>
      </c>
      <c r="F261" s="375">
        <f t="shared" si="66"/>
        <v>132.88</v>
      </c>
      <c r="G261" s="375">
        <f t="shared" si="66"/>
        <v>0.16700000000000942</v>
      </c>
      <c r="H261" s="375">
        <f t="shared" si="66"/>
        <v>0.32799999999999574</v>
      </c>
      <c r="I261" s="375">
        <f t="shared" ref="I261:V261" si="67">(J260+I260)*(J259-I259)/2</f>
        <v>0</v>
      </c>
      <c r="J261" s="375">
        <f>(K260+J260)*(K259-J259)/2</f>
        <v>0</v>
      </c>
      <c r="K261" s="375">
        <f t="shared" si="67"/>
        <v>0</v>
      </c>
      <c r="L261" s="375">
        <f t="shared" si="67"/>
        <v>0</v>
      </c>
      <c r="M261" s="375">
        <f t="shared" si="67"/>
        <v>0</v>
      </c>
      <c r="N261" s="375">
        <f t="shared" si="67"/>
        <v>0</v>
      </c>
      <c r="O261" s="375">
        <f t="shared" si="67"/>
        <v>0</v>
      </c>
      <c r="P261" s="375">
        <f t="shared" si="67"/>
        <v>0</v>
      </c>
      <c r="Q261" s="375">
        <f t="shared" si="67"/>
        <v>0</v>
      </c>
      <c r="R261" s="375">
        <f t="shared" si="67"/>
        <v>0</v>
      </c>
      <c r="S261" s="375">
        <f>(T260+S260)*(T259-S259)/2</f>
        <v>0</v>
      </c>
      <c r="T261" s="375">
        <f t="shared" si="67"/>
        <v>0</v>
      </c>
      <c r="U261" s="375">
        <f t="shared" si="67"/>
        <v>0</v>
      </c>
      <c r="V261" s="375">
        <f t="shared" si="67"/>
        <v>0</v>
      </c>
      <c r="W261" s="375">
        <f>(X260+W260)*(X259-W259)/2</f>
        <v>0</v>
      </c>
      <c r="X261" s="375">
        <f>(Y260+X260)*(Y259-X259)/2</f>
        <v>0</v>
      </c>
      <c r="Y261" s="369"/>
    </row>
    <row r="262" spans="1:25" x14ac:dyDescent="0.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5" thickBot="1" x14ac:dyDescent="0.25">
      <c r="A263" s="6" t="s">
        <v>316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3.5" thickBot="1" x14ac:dyDescent="0.25">
      <c r="A264" s="361" t="s">
        <v>35</v>
      </c>
      <c r="B264" s="359">
        <f>ROW(A264)</f>
        <v>264</v>
      </c>
      <c r="C264" s="363" t="s">
        <v>118</v>
      </c>
      <c r="D264" s="353">
        <f>SUM(B267:Y267)</f>
        <v>1071.5999999999999</v>
      </c>
      <c r="E264" s="363" t="s">
        <v>117</v>
      </c>
      <c r="F264" s="354">
        <f>D264/g/J264</f>
        <v>163.03802090465106</v>
      </c>
      <c r="G264" s="363" t="s">
        <v>59</v>
      </c>
      <c r="H264" s="64">
        <v>2.02</v>
      </c>
      <c r="I264" s="363" t="s">
        <v>274</v>
      </c>
      <c r="J264" s="355">
        <f>H264-L264</f>
        <v>0.66999999999999993</v>
      </c>
      <c r="K264" s="363" t="s">
        <v>275</v>
      </c>
      <c r="L264" s="64">
        <v>1.35</v>
      </c>
      <c r="M264" s="363" t="s">
        <v>60</v>
      </c>
      <c r="N264" s="65">
        <v>154</v>
      </c>
      <c r="O264" s="363" t="s">
        <v>62</v>
      </c>
      <c r="P264" s="65">
        <v>168</v>
      </c>
      <c r="Q264" s="363" t="s">
        <v>63</v>
      </c>
      <c r="R264" s="65">
        <v>230</v>
      </c>
      <c r="S264" s="363" t="s">
        <v>64</v>
      </c>
      <c r="T264" s="65">
        <v>67</v>
      </c>
      <c r="U264" s="363" t="s">
        <v>57</v>
      </c>
      <c r="V264" s="66" t="s">
        <v>121</v>
      </c>
      <c r="W264" s="12"/>
      <c r="X264" s="12"/>
      <c r="Y264" s="12"/>
    </row>
    <row r="265" spans="1:25" x14ac:dyDescent="0.2">
      <c r="A265" s="362" t="s">
        <v>33</v>
      </c>
      <c r="B265" s="370">
        <v>0</v>
      </c>
      <c r="C265" s="371">
        <v>0.02</v>
      </c>
      <c r="D265" s="371">
        <v>0.05</v>
      </c>
      <c r="E265" s="371">
        <v>0.06</v>
      </c>
      <c r="F265" s="371">
        <v>0.09</v>
      </c>
      <c r="G265" s="371">
        <v>0.17</v>
      </c>
      <c r="H265" s="371">
        <v>0.2</v>
      </c>
      <c r="I265" s="371">
        <v>0.38</v>
      </c>
      <c r="J265" s="371">
        <v>0.75</v>
      </c>
      <c r="K265" s="371">
        <v>0.79</v>
      </c>
      <c r="L265" s="371">
        <v>1.1299999999999999</v>
      </c>
      <c r="M265" s="371">
        <v>1.2</v>
      </c>
      <c r="N265" s="371">
        <v>1.5</v>
      </c>
      <c r="O265" s="371">
        <v>1.54</v>
      </c>
      <c r="P265" s="371">
        <v>1.65</v>
      </c>
      <c r="Q265" s="371">
        <v>1.7</v>
      </c>
      <c r="R265" s="371">
        <v>1.79</v>
      </c>
      <c r="S265" s="371">
        <v>1.79</v>
      </c>
      <c r="T265" s="371">
        <v>1.79</v>
      </c>
      <c r="U265" s="371">
        <v>1.79</v>
      </c>
      <c r="V265" s="371">
        <v>1.79</v>
      </c>
      <c r="W265" s="371">
        <v>1.79</v>
      </c>
      <c r="X265" s="371">
        <v>1.79</v>
      </c>
      <c r="Y265" s="381">
        <v>1000</v>
      </c>
    </row>
    <row r="266" spans="1:25" x14ac:dyDescent="0.2">
      <c r="A266" s="378" t="s">
        <v>34</v>
      </c>
      <c r="B266" s="372">
        <v>0</v>
      </c>
      <c r="C266" s="373">
        <v>20</v>
      </c>
      <c r="D266" s="373">
        <v>870</v>
      </c>
      <c r="E266" s="373">
        <v>530</v>
      </c>
      <c r="F266" s="373">
        <v>790</v>
      </c>
      <c r="G266" s="373">
        <v>700</v>
      </c>
      <c r="H266" s="373">
        <v>710</v>
      </c>
      <c r="I266" s="373">
        <v>670</v>
      </c>
      <c r="J266" s="373">
        <v>630</v>
      </c>
      <c r="K266" s="373">
        <v>630</v>
      </c>
      <c r="L266" s="373">
        <v>710</v>
      </c>
      <c r="M266" s="373">
        <v>690</v>
      </c>
      <c r="N266" s="373">
        <v>690</v>
      </c>
      <c r="O266" s="373">
        <v>660</v>
      </c>
      <c r="P266" s="373">
        <v>160</v>
      </c>
      <c r="Q266" s="373">
        <v>10</v>
      </c>
      <c r="R266" s="373">
        <v>0</v>
      </c>
      <c r="S266" s="373">
        <v>0</v>
      </c>
      <c r="T266" s="373">
        <v>0</v>
      </c>
      <c r="U266" s="373">
        <v>0</v>
      </c>
      <c r="V266" s="373">
        <v>0</v>
      </c>
      <c r="W266" s="373">
        <v>0</v>
      </c>
      <c r="X266" s="373">
        <v>0</v>
      </c>
      <c r="Y266" s="382">
        <v>0</v>
      </c>
    </row>
    <row r="267" spans="1:25" ht="13.5" thickBot="1" x14ac:dyDescent="0.25">
      <c r="A267" s="379" t="s">
        <v>119</v>
      </c>
      <c r="B267" s="374">
        <f t="shared" ref="B267:Q267" si="68">(C266+B266)*(C265-B265)/2</f>
        <v>0.2</v>
      </c>
      <c r="C267" s="375">
        <f t="shared" si="68"/>
        <v>13.350000000000001</v>
      </c>
      <c r="D267" s="375">
        <f t="shared" si="68"/>
        <v>6.9999999999999964</v>
      </c>
      <c r="E267" s="375">
        <f t="shared" si="68"/>
        <v>19.8</v>
      </c>
      <c r="F267" s="375">
        <f t="shared" si="68"/>
        <v>59.600000000000009</v>
      </c>
      <c r="G267" s="375">
        <f t="shared" si="68"/>
        <v>21.15</v>
      </c>
      <c r="H267" s="375">
        <f t="shared" si="68"/>
        <v>124.19999999999999</v>
      </c>
      <c r="I267" s="375">
        <f t="shared" si="68"/>
        <v>240.5</v>
      </c>
      <c r="J267" s="375">
        <f>(K266+J266)*(K265-J265)/2</f>
        <v>25.200000000000024</v>
      </c>
      <c r="K267" s="375">
        <f t="shared" si="68"/>
        <v>227.7999999999999</v>
      </c>
      <c r="L267" s="375">
        <f t="shared" si="68"/>
        <v>49.000000000000043</v>
      </c>
      <c r="M267" s="375">
        <f t="shared" si="68"/>
        <v>207.00000000000003</v>
      </c>
      <c r="N267" s="375">
        <f t="shared" si="68"/>
        <v>27.000000000000025</v>
      </c>
      <c r="O267" s="375">
        <f t="shared" si="68"/>
        <v>45.099999999999952</v>
      </c>
      <c r="P267" s="375">
        <f t="shared" si="68"/>
        <v>4.2500000000000036</v>
      </c>
      <c r="Q267" s="375">
        <f t="shared" si="68"/>
        <v>0.4500000000000004</v>
      </c>
      <c r="R267" s="375">
        <f t="shared" ref="R267:X267" si="69">(S266+R266)*(S265-R265)/2</f>
        <v>0</v>
      </c>
      <c r="S267" s="375">
        <f t="shared" si="69"/>
        <v>0</v>
      </c>
      <c r="T267" s="375">
        <f t="shared" si="69"/>
        <v>0</v>
      </c>
      <c r="U267" s="375">
        <f t="shared" si="69"/>
        <v>0</v>
      </c>
      <c r="V267" s="375">
        <f t="shared" si="69"/>
        <v>0</v>
      </c>
      <c r="W267" s="375">
        <f t="shared" si="69"/>
        <v>0</v>
      </c>
      <c r="X267" s="375">
        <f t="shared" si="69"/>
        <v>0</v>
      </c>
      <c r="Y267" s="383"/>
    </row>
    <row r="268" spans="1:25" ht="13.5" thickBot="1" x14ac:dyDescent="0.25">
      <c r="S268" s="12"/>
      <c r="T268" s="12"/>
      <c r="U268" s="12"/>
      <c r="V268" s="12"/>
      <c r="W268" s="12"/>
      <c r="X268" s="12"/>
      <c r="Y268" s="12"/>
    </row>
    <row r="269" spans="1:25" ht="13.5" thickBot="1" x14ac:dyDescent="0.25">
      <c r="A269" s="361" t="s">
        <v>36</v>
      </c>
      <c r="B269" s="359">
        <f>ROW(A269)</f>
        <v>269</v>
      </c>
      <c r="C269" s="363" t="s">
        <v>118</v>
      </c>
      <c r="D269" s="353">
        <f>SUM(B272:Y272)</f>
        <v>2102.35</v>
      </c>
      <c r="E269" s="363" t="s">
        <v>117</v>
      </c>
      <c r="F269" s="354">
        <f>D269/g/J269</f>
        <v>174.23319493133766</v>
      </c>
      <c r="G269" s="363" t="s">
        <v>59</v>
      </c>
      <c r="H269" s="64">
        <v>3.7</v>
      </c>
      <c r="I269" s="363" t="s">
        <v>274</v>
      </c>
      <c r="J269" s="355">
        <f>H269-L269</f>
        <v>1.23</v>
      </c>
      <c r="K269" s="363" t="s">
        <v>275</v>
      </c>
      <c r="L269" s="64">
        <v>2.4700000000000002</v>
      </c>
      <c r="M269" s="363" t="s">
        <v>60</v>
      </c>
      <c r="N269" s="65">
        <v>151</v>
      </c>
      <c r="O269" s="363" t="s">
        <v>62</v>
      </c>
      <c r="P269" s="65">
        <v>171</v>
      </c>
      <c r="Q269" s="363" t="s">
        <v>63</v>
      </c>
      <c r="R269" s="65">
        <v>247</v>
      </c>
      <c r="S269" s="363" t="s">
        <v>64</v>
      </c>
      <c r="T269" s="65">
        <v>90</v>
      </c>
      <c r="U269" s="363" t="s">
        <v>57</v>
      </c>
      <c r="V269" s="66" t="s">
        <v>121</v>
      </c>
      <c r="W269" s="12"/>
      <c r="X269" s="12"/>
      <c r="Y269" s="12"/>
    </row>
    <row r="270" spans="1:25" x14ac:dyDescent="0.2">
      <c r="A270" s="362" t="s">
        <v>33</v>
      </c>
      <c r="B270" s="370">
        <v>0</v>
      </c>
      <c r="C270" s="371">
        <v>0.05</v>
      </c>
      <c r="D270" s="371">
        <v>0.1</v>
      </c>
      <c r="E270" s="371">
        <v>1</v>
      </c>
      <c r="F270" s="371">
        <v>1.35</v>
      </c>
      <c r="G270" s="371">
        <v>1.75</v>
      </c>
      <c r="H270" s="371">
        <v>2.15</v>
      </c>
      <c r="I270" s="371">
        <v>2.25</v>
      </c>
      <c r="J270" s="371">
        <v>2.48</v>
      </c>
      <c r="K270" s="371">
        <v>2.6</v>
      </c>
      <c r="L270" s="371">
        <v>2.8</v>
      </c>
      <c r="M270" s="371">
        <v>2.8</v>
      </c>
      <c r="N270" s="371">
        <v>2.8</v>
      </c>
      <c r="O270" s="371">
        <v>2.8</v>
      </c>
      <c r="P270" s="371">
        <v>2.8</v>
      </c>
      <c r="Q270" s="371">
        <v>2.8</v>
      </c>
      <c r="R270" s="371">
        <v>2.8</v>
      </c>
      <c r="S270" s="371">
        <v>2.8</v>
      </c>
      <c r="T270" s="371">
        <v>2.8</v>
      </c>
      <c r="U270" s="371">
        <v>2.8</v>
      </c>
      <c r="V270" s="371">
        <v>2.8</v>
      </c>
      <c r="W270" s="371">
        <v>2.8</v>
      </c>
      <c r="X270" s="371">
        <v>2.8</v>
      </c>
      <c r="Y270" s="381">
        <v>1000</v>
      </c>
    </row>
    <row r="271" spans="1:25" x14ac:dyDescent="0.2">
      <c r="A271" s="378" t="s">
        <v>34</v>
      </c>
      <c r="B271" s="372">
        <v>0</v>
      </c>
      <c r="C271" s="373">
        <v>860</v>
      </c>
      <c r="D271" s="373">
        <v>840</v>
      </c>
      <c r="E271" s="373">
        <v>840</v>
      </c>
      <c r="F271" s="373">
        <v>850</v>
      </c>
      <c r="G271" s="373">
        <v>900</v>
      </c>
      <c r="H271" s="373">
        <v>1050</v>
      </c>
      <c r="I271" s="373">
        <v>1020</v>
      </c>
      <c r="J271" s="373">
        <v>120</v>
      </c>
      <c r="K271" s="373">
        <v>30</v>
      </c>
      <c r="L271" s="373">
        <v>0</v>
      </c>
      <c r="M271" s="373">
        <v>0</v>
      </c>
      <c r="N271" s="373">
        <v>0</v>
      </c>
      <c r="O271" s="373">
        <v>0</v>
      </c>
      <c r="P271" s="373">
        <v>0</v>
      </c>
      <c r="Q271" s="373">
        <v>0</v>
      </c>
      <c r="R271" s="373">
        <v>0</v>
      </c>
      <c r="S271" s="373">
        <v>0</v>
      </c>
      <c r="T271" s="373">
        <v>0</v>
      </c>
      <c r="U271" s="373">
        <v>0</v>
      </c>
      <c r="V271" s="373">
        <v>0</v>
      </c>
      <c r="W271" s="373">
        <v>0</v>
      </c>
      <c r="X271" s="373">
        <v>0</v>
      </c>
      <c r="Y271" s="382">
        <v>0</v>
      </c>
    </row>
    <row r="272" spans="1:25" ht="13.5" thickBot="1" x14ac:dyDescent="0.25">
      <c r="A272" s="379" t="s">
        <v>119</v>
      </c>
      <c r="B272" s="374">
        <f t="shared" ref="B272:K272" si="70">(C271+B271)*(C270-B270)/2</f>
        <v>21.5</v>
      </c>
      <c r="C272" s="375">
        <f t="shared" si="70"/>
        <v>42.5</v>
      </c>
      <c r="D272" s="375">
        <f t="shared" si="70"/>
        <v>756</v>
      </c>
      <c r="E272" s="375">
        <f t="shared" si="70"/>
        <v>295.75000000000006</v>
      </c>
      <c r="F272" s="375">
        <f t="shared" si="70"/>
        <v>349.99999999999994</v>
      </c>
      <c r="G272" s="375">
        <f t="shared" si="70"/>
        <v>389.99999999999989</v>
      </c>
      <c r="H272" s="375">
        <f t="shared" si="70"/>
        <v>103.50000000000009</v>
      </c>
      <c r="I272" s="375">
        <f t="shared" si="70"/>
        <v>131.1</v>
      </c>
      <c r="J272" s="375">
        <f>(K271+J271)*(K270-J270)/2</f>
        <v>9.0000000000000071</v>
      </c>
      <c r="K272" s="375">
        <f t="shared" si="70"/>
        <v>2.999999999999996</v>
      </c>
      <c r="L272" s="375">
        <f t="shared" ref="L272:V272" si="71">(M271+L271)*(M270-L270)/2</f>
        <v>0</v>
      </c>
      <c r="M272" s="375">
        <f t="shared" si="71"/>
        <v>0</v>
      </c>
      <c r="N272" s="375">
        <f t="shared" si="71"/>
        <v>0</v>
      </c>
      <c r="O272" s="375">
        <f t="shared" si="71"/>
        <v>0</v>
      </c>
      <c r="P272" s="375">
        <f t="shared" si="71"/>
        <v>0</v>
      </c>
      <c r="Q272" s="375">
        <f t="shared" si="71"/>
        <v>0</v>
      </c>
      <c r="R272" s="375">
        <f t="shared" si="71"/>
        <v>0</v>
      </c>
      <c r="S272" s="375">
        <f>(T271+S271)*(T270-S270)/2</f>
        <v>0</v>
      </c>
      <c r="T272" s="375">
        <f t="shared" si="71"/>
        <v>0</v>
      </c>
      <c r="U272" s="375">
        <f t="shared" si="71"/>
        <v>0</v>
      </c>
      <c r="V272" s="375">
        <f t="shared" si="71"/>
        <v>0</v>
      </c>
      <c r="W272" s="375">
        <f>(X271+W271)*(X270-W270)/2</f>
        <v>0</v>
      </c>
      <c r="X272" s="375">
        <f>(Y271+X271)*(Y270-X270)/2</f>
        <v>0</v>
      </c>
      <c r="Y272" s="369"/>
    </row>
    <row r="273" spans="1:25" ht="13.5" thickBot="1" x14ac:dyDescent="0.25"/>
    <row r="274" spans="1:25" ht="13.5" thickBot="1" x14ac:dyDescent="0.25">
      <c r="A274" s="361" t="s">
        <v>45</v>
      </c>
      <c r="B274" s="359">
        <f>ROW(A274)</f>
        <v>274</v>
      </c>
      <c r="C274" s="363" t="s">
        <v>118</v>
      </c>
      <c r="D274" s="353">
        <f>SUM(B277:Y277)</f>
        <v>2058.37</v>
      </c>
      <c r="E274" s="363" t="s">
        <v>117</v>
      </c>
      <c r="F274" s="354">
        <f>D274/g/J274</f>
        <v>203.12066731598335</v>
      </c>
      <c r="G274" s="363" t="s">
        <v>59</v>
      </c>
      <c r="H274" s="64">
        <v>1.6850000000000001</v>
      </c>
      <c r="I274" s="363" t="s">
        <v>274</v>
      </c>
      <c r="J274" s="355">
        <f>H274-L274</f>
        <v>1.0329999999999999</v>
      </c>
      <c r="K274" s="363" t="s">
        <v>275</v>
      </c>
      <c r="L274" s="64">
        <v>0.65200000000000002</v>
      </c>
      <c r="M274" s="363" t="s">
        <v>60</v>
      </c>
      <c r="N274" s="65">
        <v>250</v>
      </c>
      <c r="O274" s="363" t="s">
        <v>62</v>
      </c>
      <c r="P274" s="65">
        <v>240</v>
      </c>
      <c r="Q274" s="363" t="s">
        <v>63</v>
      </c>
      <c r="R274" s="65">
        <v>488</v>
      </c>
      <c r="S274" s="363" t="s">
        <v>64</v>
      </c>
      <c r="T274" s="65">
        <v>54</v>
      </c>
      <c r="U274" s="363" t="s">
        <v>57</v>
      </c>
      <c r="V274" s="66" t="s">
        <v>121</v>
      </c>
      <c r="W274" s="12"/>
      <c r="X274" s="12"/>
      <c r="Y274" s="12"/>
    </row>
    <row r="275" spans="1:25" x14ac:dyDescent="0.2">
      <c r="A275" s="362" t="s">
        <v>33</v>
      </c>
      <c r="B275" s="370">
        <v>0</v>
      </c>
      <c r="C275" s="371">
        <v>0.05</v>
      </c>
      <c r="D275" s="371">
        <v>0.5</v>
      </c>
      <c r="E275" s="371">
        <v>1</v>
      </c>
      <c r="F275" s="371">
        <v>1.5</v>
      </c>
      <c r="G275" s="371">
        <v>2</v>
      </c>
      <c r="H275" s="371">
        <v>2.5</v>
      </c>
      <c r="I275" s="371">
        <v>2.97</v>
      </c>
      <c r="J275" s="371">
        <v>3.2</v>
      </c>
      <c r="K275" s="371">
        <v>3.47</v>
      </c>
      <c r="L275" s="371">
        <v>3.59</v>
      </c>
      <c r="M275" s="371">
        <v>3.59</v>
      </c>
      <c r="N275" s="371">
        <v>3.59</v>
      </c>
      <c r="O275" s="371">
        <v>3.59</v>
      </c>
      <c r="P275" s="371">
        <v>3.59</v>
      </c>
      <c r="Q275" s="371">
        <v>3.59</v>
      </c>
      <c r="R275" s="371">
        <v>3.59</v>
      </c>
      <c r="S275" s="371">
        <v>3.59</v>
      </c>
      <c r="T275" s="371">
        <v>3.59</v>
      </c>
      <c r="U275" s="371">
        <v>3.59</v>
      </c>
      <c r="V275" s="371">
        <v>3.59</v>
      </c>
      <c r="W275" s="371">
        <v>3.59</v>
      </c>
      <c r="X275" s="371">
        <v>3.59</v>
      </c>
      <c r="Y275" s="381">
        <v>1000</v>
      </c>
    </row>
    <row r="276" spans="1:25" x14ac:dyDescent="0.2">
      <c r="A276" s="378" t="s">
        <v>34</v>
      </c>
      <c r="B276" s="372">
        <v>0</v>
      </c>
      <c r="C276" s="373">
        <v>893</v>
      </c>
      <c r="D276" s="373">
        <v>798</v>
      </c>
      <c r="E276" s="373">
        <v>739</v>
      </c>
      <c r="F276" s="373">
        <v>659</v>
      </c>
      <c r="G276" s="373">
        <v>586</v>
      </c>
      <c r="H276" s="373">
        <v>513</v>
      </c>
      <c r="I276" s="373">
        <v>417</v>
      </c>
      <c r="J276" s="373">
        <v>225</v>
      </c>
      <c r="K276" s="373">
        <v>67</v>
      </c>
      <c r="L276" s="373">
        <v>0</v>
      </c>
      <c r="M276" s="373">
        <v>0</v>
      </c>
      <c r="N276" s="373">
        <v>0</v>
      </c>
      <c r="O276" s="373">
        <v>0</v>
      </c>
      <c r="P276" s="373">
        <v>0</v>
      </c>
      <c r="Q276" s="373">
        <v>0</v>
      </c>
      <c r="R276" s="373">
        <v>0</v>
      </c>
      <c r="S276" s="373">
        <v>0</v>
      </c>
      <c r="T276" s="373">
        <v>0</v>
      </c>
      <c r="U276" s="373">
        <v>0</v>
      </c>
      <c r="V276" s="373">
        <v>0</v>
      </c>
      <c r="W276" s="373">
        <v>0</v>
      </c>
      <c r="X276" s="373">
        <v>0</v>
      </c>
      <c r="Y276" s="382">
        <v>0</v>
      </c>
    </row>
    <row r="277" spans="1:25" ht="13.5" thickBot="1" x14ac:dyDescent="0.25">
      <c r="A277" s="380" t="s">
        <v>119</v>
      </c>
      <c r="B277" s="374">
        <f t="shared" ref="B277:V277" si="72">(C276+B276)*(C275-B275)/2</f>
        <v>22.325000000000003</v>
      </c>
      <c r="C277" s="375">
        <f t="shared" si="72"/>
        <v>380.47500000000002</v>
      </c>
      <c r="D277" s="375">
        <f t="shared" si="72"/>
        <v>384.25</v>
      </c>
      <c r="E277" s="375">
        <f t="shared" si="72"/>
        <v>349.5</v>
      </c>
      <c r="F277" s="375">
        <f t="shared" si="72"/>
        <v>311.25</v>
      </c>
      <c r="G277" s="375">
        <f t="shared" si="72"/>
        <v>274.75</v>
      </c>
      <c r="H277" s="375">
        <f t="shared" si="72"/>
        <v>218.5500000000001</v>
      </c>
      <c r="I277" s="375">
        <f t="shared" si="72"/>
        <v>73.83</v>
      </c>
      <c r="J277" s="375">
        <f>(K276+J276)*(K275-J275)/2</f>
        <v>39.42</v>
      </c>
      <c r="K277" s="375">
        <f t="shared" si="72"/>
        <v>4.0199999999999889</v>
      </c>
      <c r="L277" s="375">
        <f t="shared" si="72"/>
        <v>0</v>
      </c>
      <c r="M277" s="375">
        <f t="shared" si="72"/>
        <v>0</v>
      </c>
      <c r="N277" s="375">
        <f t="shared" si="72"/>
        <v>0</v>
      </c>
      <c r="O277" s="375">
        <f t="shared" si="72"/>
        <v>0</v>
      </c>
      <c r="P277" s="375">
        <f t="shared" si="72"/>
        <v>0</v>
      </c>
      <c r="Q277" s="375">
        <f t="shared" si="72"/>
        <v>0</v>
      </c>
      <c r="R277" s="375">
        <f t="shared" si="72"/>
        <v>0</v>
      </c>
      <c r="S277" s="375">
        <f>(T276+S276)*(T275-S275)/2</f>
        <v>0</v>
      </c>
      <c r="T277" s="375">
        <f t="shared" si="72"/>
        <v>0</v>
      </c>
      <c r="U277" s="375">
        <f t="shared" si="72"/>
        <v>0</v>
      </c>
      <c r="V277" s="375">
        <f t="shared" si="72"/>
        <v>0</v>
      </c>
      <c r="W277" s="375">
        <f>(X276+W276)*(X275-W275)/2</f>
        <v>0</v>
      </c>
      <c r="X277" s="375">
        <f>(Y276+X276)*(Y275-X275)/2</f>
        <v>0</v>
      </c>
      <c r="Y277" s="369"/>
    </row>
    <row r="278" spans="1:25" ht="13.5" thickBot="1" x14ac:dyDescent="0.2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3.5" thickBot="1" x14ac:dyDescent="0.25">
      <c r="A279" s="361" t="s">
        <v>37</v>
      </c>
      <c r="B279" s="359">
        <f>ROW(A279)</f>
        <v>279</v>
      </c>
      <c r="C279" s="363" t="s">
        <v>118</v>
      </c>
      <c r="D279" s="353">
        <f>SUM(B282:Y282)</f>
        <v>2486.041999999999</v>
      </c>
      <c r="E279" s="363" t="s">
        <v>117</v>
      </c>
      <c r="F279" s="354">
        <f>D279/g/J279</f>
        <v>199.54264891200521</v>
      </c>
      <c r="G279" s="363" t="s">
        <v>59</v>
      </c>
      <c r="H279" s="64">
        <v>2.59</v>
      </c>
      <c r="I279" s="363" t="s">
        <v>274</v>
      </c>
      <c r="J279" s="355">
        <f>H279-L279</f>
        <v>1.2699999999999998</v>
      </c>
      <c r="K279" s="363" t="s">
        <v>275</v>
      </c>
      <c r="L279" s="64">
        <v>1.32</v>
      </c>
      <c r="M279" s="363" t="s">
        <v>60</v>
      </c>
      <c r="N279" s="65">
        <v>175</v>
      </c>
      <c r="O279" s="363" t="s">
        <v>62</v>
      </c>
      <c r="P279" s="65">
        <v>175</v>
      </c>
      <c r="Q279" s="363" t="s">
        <v>63</v>
      </c>
      <c r="R279" s="65">
        <v>350</v>
      </c>
      <c r="S279" s="363" t="s">
        <v>64</v>
      </c>
      <c r="T279" s="65">
        <v>75</v>
      </c>
      <c r="U279" s="363" t="s">
        <v>57</v>
      </c>
      <c r="V279" s="66" t="s">
        <v>121</v>
      </c>
      <c r="W279" s="12"/>
      <c r="X279" s="12"/>
      <c r="Y279" s="12"/>
    </row>
    <row r="280" spans="1:25" x14ac:dyDescent="0.2">
      <c r="A280" s="362" t="s">
        <v>33</v>
      </c>
      <c r="B280" s="370">
        <v>0</v>
      </c>
      <c r="C280" s="371">
        <v>0.04</v>
      </c>
      <c r="D280" s="371">
        <v>7.0000000000000007E-2</v>
      </c>
      <c r="E280" s="371">
        <v>0.1</v>
      </c>
      <c r="F280" s="371">
        <v>0.21</v>
      </c>
      <c r="G280" s="371">
        <v>0.35</v>
      </c>
      <c r="H280" s="371">
        <v>0.53</v>
      </c>
      <c r="I280" s="371">
        <v>0.82</v>
      </c>
      <c r="J280" s="371">
        <v>1.18</v>
      </c>
      <c r="K280" s="371">
        <v>1.72</v>
      </c>
      <c r="L280" s="371">
        <v>2.15</v>
      </c>
      <c r="M280" s="371">
        <v>2.39</v>
      </c>
      <c r="N280" s="371">
        <v>2.9</v>
      </c>
      <c r="O280" s="371">
        <v>3.07</v>
      </c>
      <c r="P280" s="371">
        <v>3.56</v>
      </c>
      <c r="Q280" s="371">
        <v>3.98</v>
      </c>
      <c r="R280" s="371">
        <v>4.32</v>
      </c>
      <c r="S280" s="371">
        <v>4.4800000000000004</v>
      </c>
      <c r="T280" s="371">
        <v>4.5999999999999996</v>
      </c>
      <c r="U280" s="371">
        <v>4.6500000000000004</v>
      </c>
      <c r="V280" s="371">
        <v>4.8</v>
      </c>
      <c r="W280" s="371">
        <v>4.83</v>
      </c>
      <c r="X280" s="371">
        <v>4.84</v>
      </c>
      <c r="Y280" s="381">
        <v>1000</v>
      </c>
    </row>
    <row r="281" spans="1:25" x14ac:dyDescent="0.2">
      <c r="A281" s="378" t="s">
        <v>34</v>
      </c>
      <c r="B281" s="372">
        <v>0</v>
      </c>
      <c r="C281" s="373">
        <v>394.4</v>
      </c>
      <c r="D281" s="373">
        <v>617.70000000000005</v>
      </c>
      <c r="E281" s="373">
        <v>645.1</v>
      </c>
      <c r="F281" s="373">
        <v>658.2</v>
      </c>
      <c r="G281" s="373">
        <v>669.2</v>
      </c>
      <c r="H281" s="373">
        <v>667.7</v>
      </c>
      <c r="I281" s="373">
        <v>661.6</v>
      </c>
      <c r="J281" s="373">
        <v>626.9</v>
      </c>
      <c r="K281" s="373">
        <v>588.5</v>
      </c>
      <c r="L281" s="373">
        <v>557.70000000000005</v>
      </c>
      <c r="M281" s="373">
        <v>542.29999999999995</v>
      </c>
      <c r="N281" s="373">
        <v>492.9</v>
      </c>
      <c r="O281" s="373">
        <v>470.3</v>
      </c>
      <c r="P281" s="373">
        <v>426.8</v>
      </c>
      <c r="Q281" s="373">
        <v>399</v>
      </c>
      <c r="R281" s="373">
        <v>394</v>
      </c>
      <c r="S281" s="373">
        <v>380.6</v>
      </c>
      <c r="T281" s="373">
        <v>364.2</v>
      </c>
      <c r="U281" s="373">
        <v>290.89999999999998</v>
      </c>
      <c r="V281" s="373">
        <v>91.2</v>
      </c>
      <c r="W281" s="373">
        <v>45.8</v>
      </c>
      <c r="X281" s="373">
        <v>0</v>
      </c>
      <c r="Y281" s="382">
        <v>0</v>
      </c>
    </row>
    <row r="282" spans="1:25" ht="13.5" thickBot="1" x14ac:dyDescent="0.25">
      <c r="A282" s="379" t="s">
        <v>119</v>
      </c>
      <c r="B282" s="374">
        <f t="shared" ref="B282:V282" si="73">(C281+B281)*(C280-B280)/2</f>
        <v>7.8879999999999999</v>
      </c>
      <c r="C282" s="375">
        <f t="shared" si="73"/>
        <v>15.181500000000003</v>
      </c>
      <c r="D282" s="375">
        <f t="shared" si="73"/>
        <v>18.942000000000004</v>
      </c>
      <c r="E282" s="375">
        <f t="shared" si="73"/>
        <v>71.6815</v>
      </c>
      <c r="F282" s="375">
        <f t="shared" si="73"/>
        <v>92.917999999999992</v>
      </c>
      <c r="G282" s="375">
        <f t="shared" si="73"/>
        <v>120.32100000000004</v>
      </c>
      <c r="H282" s="375">
        <f t="shared" si="73"/>
        <v>192.74849999999998</v>
      </c>
      <c r="I282" s="375">
        <f t="shared" si="73"/>
        <v>231.92999999999998</v>
      </c>
      <c r="J282" s="375">
        <f>(K281+J281)*(K280-J280)/2</f>
        <v>328.15800000000007</v>
      </c>
      <c r="K282" s="375">
        <f t="shared" si="73"/>
        <v>246.43299999999996</v>
      </c>
      <c r="L282" s="375">
        <f t="shared" si="73"/>
        <v>132.00000000000011</v>
      </c>
      <c r="M282" s="375">
        <f t="shared" si="73"/>
        <v>263.97599999999983</v>
      </c>
      <c r="N282" s="375">
        <f t="shared" si="73"/>
        <v>81.871999999999971</v>
      </c>
      <c r="O282" s="375">
        <f t="shared" si="73"/>
        <v>219.78950000000009</v>
      </c>
      <c r="P282" s="375">
        <f t="shared" si="73"/>
        <v>173.41799999999995</v>
      </c>
      <c r="Q282" s="375">
        <f t="shared" si="73"/>
        <v>134.81000000000012</v>
      </c>
      <c r="R282" s="375">
        <f t="shared" si="73"/>
        <v>61.96800000000006</v>
      </c>
      <c r="S282" s="375">
        <f>(T281+S281)*(T280-S280)/2</f>
        <v>44.687999999999704</v>
      </c>
      <c r="T282" s="375">
        <f t="shared" si="73"/>
        <v>16.377500000000232</v>
      </c>
      <c r="U282" s="375">
        <f t="shared" si="73"/>
        <v>28.657499999999896</v>
      </c>
      <c r="V282" s="375">
        <f t="shared" si="73"/>
        <v>2.055000000000017</v>
      </c>
      <c r="W282" s="375">
        <f>(X281+W281)*(X280-W280)/2</f>
        <v>0.2289999999999951</v>
      </c>
      <c r="X282" s="375">
        <f>(Y281+X281)*(Y280-X280)/2</f>
        <v>0</v>
      </c>
      <c r="Y282" s="369"/>
    </row>
    <row r="283" spans="1:25" ht="13.5" thickBot="1" x14ac:dyDescent="0.25">
      <c r="A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5" thickBot="1" x14ac:dyDescent="0.25">
      <c r="A284" s="361" t="s">
        <v>46</v>
      </c>
      <c r="B284" s="359">
        <f>ROW(A284)</f>
        <v>284</v>
      </c>
      <c r="C284" s="363" t="s">
        <v>118</v>
      </c>
      <c r="D284" s="353">
        <f>SUM(B287:Y287)</f>
        <v>3739.0284999999994</v>
      </c>
      <c r="E284" s="363" t="s">
        <v>117</v>
      </c>
      <c r="F284" s="354">
        <f>D284/g/J284</f>
        <v>203.4941790441234</v>
      </c>
      <c r="G284" s="363" t="s">
        <v>59</v>
      </c>
      <c r="H284" s="64">
        <v>3.5110000000000001</v>
      </c>
      <c r="I284" s="363" t="s">
        <v>274</v>
      </c>
      <c r="J284" s="355">
        <f>H284-L284</f>
        <v>1.8730000000000002</v>
      </c>
      <c r="K284" s="363" t="s">
        <v>275</v>
      </c>
      <c r="L284" s="64">
        <v>1.6379999999999999</v>
      </c>
      <c r="M284" s="363" t="s">
        <v>60</v>
      </c>
      <c r="N284" s="65">
        <v>243</v>
      </c>
      <c r="O284" s="363" t="s">
        <v>62</v>
      </c>
      <c r="P284" s="65">
        <v>243</v>
      </c>
      <c r="Q284" s="363" t="s">
        <v>63</v>
      </c>
      <c r="R284" s="65">
        <v>486</v>
      </c>
      <c r="S284" s="363" t="s">
        <v>64</v>
      </c>
      <c r="T284" s="65">
        <v>75</v>
      </c>
      <c r="U284" s="363" t="s">
        <v>57</v>
      </c>
      <c r="V284" s="66" t="s">
        <v>121</v>
      </c>
      <c r="W284" s="12"/>
      <c r="X284" s="12"/>
      <c r="Y284" s="12"/>
    </row>
    <row r="285" spans="1:25" x14ac:dyDescent="0.2">
      <c r="A285" s="362" t="s">
        <v>33</v>
      </c>
      <c r="B285" s="370">
        <v>0</v>
      </c>
      <c r="C285" s="371">
        <v>0.01</v>
      </c>
      <c r="D285" s="371">
        <v>0.1</v>
      </c>
      <c r="E285" s="371">
        <v>0.12</v>
      </c>
      <c r="F285" s="371">
        <v>0.26</v>
      </c>
      <c r="G285" s="371">
        <v>0.71</v>
      </c>
      <c r="H285" s="371">
        <v>1.28</v>
      </c>
      <c r="I285" s="371">
        <v>2.0499999999999998</v>
      </c>
      <c r="J285" s="371">
        <v>2.41</v>
      </c>
      <c r="K285" s="371">
        <v>2.83</v>
      </c>
      <c r="L285" s="371">
        <v>3.25</v>
      </c>
      <c r="M285" s="371">
        <v>3.65</v>
      </c>
      <c r="N285" s="371">
        <v>3.8</v>
      </c>
      <c r="O285" s="371">
        <v>4</v>
      </c>
      <c r="P285" s="371">
        <v>4.0999999999999996</v>
      </c>
      <c r="Q285" s="371">
        <v>4.1900000000000004</v>
      </c>
      <c r="R285" s="371">
        <v>4.3099999999999996</v>
      </c>
      <c r="S285" s="371">
        <v>4.41</v>
      </c>
      <c r="T285" s="371">
        <v>4.5199999999999996</v>
      </c>
      <c r="U285" s="371">
        <v>4.5999999999999996</v>
      </c>
      <c r="V285" s="371">
        <v>4.6500000000000004</v>
      </c>
      <c r="W285" s="371">
        <v>4.67</v>
      </c>
      <c r="X285" s="371">
        <v>4.68</v>
      </c>
      <c r="Y285" s="381">
        <v>1000</v>
      </c>
    </row>
    <row r="286" spans="1:25" x14ac:dyDescent="0.2">
      <c r="A286" s="378" t="s">
        <v>34</v>
      </c>
      <c r="B286" s="372">
        <v>27</v>
      </c>
      <c r="C286" s="373">
        <v>402.4</v>
      </c>
      <c r="D286" s="373">
        <v>1286</v>
      </c>
      <c r="E286" s="373">
        <v>1257</v>
      </c>
      <c r="F286" s="373">
        <v>1042</v>
      </c>
      <c r="G286" s="373">
        <v>1027</v>
      </c>
      <c r="H286" s="373">
        <v>998.4</v>
      </c>
      <c r="I286" s="373">
        <v>901.4</v>
      </c>
      <c r="J286" s="373">
        <v>849.6</v>
      </c>
      <c r="K286" s="373">
        <v>763.5</v>
      </c>
      <c r="L286" s="373">
        <v>707.1</v>
      </c>
      <c r="M286" s="373">
        <v>655.1</v>
      </c>
      <c r="N286" s="373">
        <v>651.70000000000005</v>
      </c>
      <c r="O286" s="373">
        <v>624.1</v>
      </c>
      <c r="P286" s="373">
        <v>601.29999999999995</v>
      </c>
      <c r="Q286" s="373">
        <v>536.20000000000005</v>
      </c>
      <c r="R286" s="373">
        <v>415.7</v>
      </c>
      <c r="S286" s="373">
        <v>270.2</v>
      </c>
      <c r="T286" s="373">
        <v>140.19999999999999</v>
      </c>
      <c r="U286" s="373">
        <v>76.900000000000006</v>
      </c>
      <c r="V286" s="373">
        <v>54.9</v>
      </c>
      <c r="W286" s="373">
        <v>40.200000000000003</v>
      </c>
      <c r="X286" s="373">
        <v>0</v>
      </c>
      <c r="Y286" s="382">
        <v>0</v>
      </c>
    </row>
    <row r="287" spans="1:25" ht="13.5" thickBot="1" x14ac:dyDescent="0.25">
      <c r="A287" s="379" t="s">
        <v>119</v>
      </c>
      <c r="B287" s="374">
        <f t="shared" ref="B287:V287" si="74">(C286+B286)*(C285-B285)/2</f>
        <v>2.1469999999999998</v>
      </c>
      <c r="C287" s="375">
        <f t="shared" si="74"/>
        <v>75.978000000000009</v>
      </c>
      <c r="D287" s="375">
        <f t="shared" si="74"/>
        <v>25.429999999999989</v>
      </c>
      <c r="E287" s="375">
        <f t="shared" si="74"/>
        <v>160.93</v>
      </c>
      <c r="F287" s="375">
        <f t="shared" si="74"/>
        <v>465.52499999999998</v>
      </c>
      <c r="G287" s="375">
        <f t="shared" si="74"/>
        <v>577.23900000000003</v>
      </c>
      <c r="H287" s="375">
        <f t="shared" si="74"/>
        <v>731.42299999999977</v>
      </c>
      <c r="I287" s="375">
        <f t="shared" si="74"/>
        <v>315.18000000000029</v>
      </c>
      <c r="J287" s="375">
        <f>(K286+J286)*(K285-J285)/2</f>
        <v>338.75099999999992</v>
      </c>
      <c r="K287" s="375">
        <f t="shared" si="74"/>
        <v>308.82599999999991</v>
      </c>
      <c r="L287" s="375">
        <f t="shared" si="74"/>
        <v>272.43999999999994</v>
      </c>
      <c r="M287" s="375">
        <f t="shared" si="74"/>
        <v>98.009999999999962</v>
      </c>
      <c r="N287" s="375">
        <f t="shared" si="74"/>
        <v>127.58000000000013</v>
      </c>
      <c r="O287" s="375">
        <f t="shared" si="74"/>
        <v>61.26999999999979</v>
      </c>
      <c r="P287" s="375">
        <f t="shared" si="74"/>
        <v>51.187500000000426</v>
      </c>
      <c r="Q287" s="375">
        <f t="shared" si="74"/>
        <v>57.113999999999635</v>
      </c>
      <c r="R287" s="375">
        <f t="shared" si="74"/>
        <v>34.295000000000179</v>
      </c>
      <c r="S287" s="375">
        <f>(T286+S286)*(T285-S285)/2</f>
        <v>22.571999999999882</v>
      </c>
      <c r="T287" s="375">
        <f t="shared" si="74"/>
        <v>8.6840000000000082</v>
      </c>
      <c r="U287" s="375">
        <f t="shared" si="74"/>
        <v>3.295000000000047</v>
      </c>
      <c r="V287" s="375">
        <f t="shared" si="74"/>
        <v>0.95099999999997964</v>
      </c>
      <c r="W287" s="375">
        <f>(X286+W286)*(X285-W285)/2</f>
        <v>0.20099999999999574</v>
      </c>
      <c r="X287" s="375">
        <f>(Y286+X286)*(Y285-X285)/2</f>
        <v>0</v>
      </c>
      <c r="Y287" s="369"/>
    </row>
    <row r="288" spans="1:25" ht="13.5" thickBot="1" x14ac:dyDescent="0.2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5" thickBot="1" x14ac:dyDescent="0.25">
      <c r="A289" s="361" t="s">
        <v>321</v>
      </c>
      <c r="B289" s="359">
        <f>ROW(A289)</f>
        <v>289</v>
      </c>
      <c r="C289" s="363" t="s">
        <v>118</v>
      </c>
      <c r="D289" s="353">
        <f>SUM(B292:Y292)</f>
        <v>5322.2813159999996</v>
      </c>
      <c r="E289" s="363" t="s">
        <v>117</v>
      </c>
      <c r="F289" s="354">
        <f>D289/g/J289</f>
        <v>210.04116210318938</v>
      </c>
      <c r="G289" s="363" t="s">
        <v>59</v>
      </c>
      <c r="H289" s="64">
        <v>4.9770000000000003</v>
      </c>
      <c r="I289" s="363" t="s">
        <v>274</v>
      </c>
      <c r="J289" s="355">
        <f>H289-L289</f>
        <v>2.5830000000000002</v>
      </c>
      <c r="K289" s="363" t="s">
        <v>275</v>
      </c>
      <c r="L289" s="64">
        <v>2.3940000000000001</v>
      </c>
      <c r="M289" s="363" t="s">
        <v>60</v>
      </c>
      <c r="N289" s="65">
        <v>197</v>
      </c>
      <c r="O289" s="363" t="s">
        <v>62</v>
      </c>
      <c r="P289" s="65">
        <v>197</v>
      </c>
      <c r="Q289" s="363" t="s">
        <v>63</v>
      </c>
      <c r="R289" s="65">
        <v>394</v>
      </c>
      <c r="S289" s="363" t="s">
        <v>64</v>
      </c>
      <c r="T289" s="65">
        <v>98</v>
      </c>
      <c r="U289" s="363" t="s">
        <v>57</v>
      </c>
      <c r="V289" s="66" t="s">
        <v>121</v>
      </c>
      <c r="W289" s="12"/>
      <c r="X289" s="12"/>
      <c r="Y289" s="12"/>
    </row>
    <row r="290" spans="1:25" x14ac:dyDescent="0.2">
      <c r="A290" s="362" t="s">
        <v>33</v>
      </c>
      <c r="B290" s="370">
        <v>0</v>
      </c>
      <c r="C290" s="371">
        <v>3.6999999999999998E-2</v>
      </c>
      <c r="D290" s="371">
        <v>0.121</v>
      </c>
      <c r="E290" s="371">
        <v>0.32800000000000001</v>
      </c>
      <c r="F290" s="371">
        <v>1.2989999999999999</v>
      </c>
      <c r="G290" s="371">
        <v>1.5449999999999999</v>
      </c>
      <c r="H290" s="371">
        <v>1.7969999999999999</v>
      </c>
      <c r="I290" s="371">
        <v>1.998</v>
      </c>
      <c r="J290" s="371">
        <v>2.2080000000000002</v>
      </c>
      <c r="K290" s="371">
        <v>2.4620000000000002</v>
      </c>
      <c r="L290" s="371">
        <v>2.782</v>
      </c>
      <c r="M290" s="371">
        <v>3.0859999999999999</v>
      </c>
      <c r="N290" s="371">
        <v>3.2130000000000001</v>
      </c>
      <c r="O290" s="371">
        <v>3.258</v>
      </c>
      <c r="P290" s="371">
        <v>3.3279999999999998</v>
      </c>
      <c r="Q290" s="371">
        <v>3.383</v>
      </c>
      <c r="R290" s="371">
        <v>3.4279999999999999</v>
      </c>
      <c r="S290" s="371">
        <v>3.5</v>
      </c>
      <c r="T290" s="371">
        <v>3.5</v>
      </c>
      <c r="U290" s="371">
        <v>3.5</v>
      </c>
      <c r="V290" s="371">
        <v>3.5</v>
      </c>
      <c r="W290" s="371">
        <v>3.5</v>
      </c>
      <c r="X290" s="371">
        <v>3.5</v>
      </c>
      <c r="Y290" s="381">
        <v>1000</v>
      </c>
    </row>
    <row r="291" spans="1:25" x14ac:dyDescent="0.2">
      <c r="A291" s="378" t="s">
        <v>34</v>
      </c>
      <c r="B291" s="372">
        <v>0</v>
      </c>
      <c r="C291" s="373">
        <v>1474.12</v>
      </c>
      <c r="D291" s="373">
        <v>1436.5</v>
      </c>
      <c r="E291" s="373">
        <v>1523.49</v>
      </c>
      <c r="F291" s="373">
        <v>1775.06</v>
      </c>
      <c r="G291" s="373">
        <v>1807.97</v>
      </c>
      <c r="H291" s="373">
        <v>1807.97</v>
      </c>
      <c r="I291" s="373">
        <v>1786.81</v>
      </c>
      <c r="J291" s="373">
        <v>1737.44</v>
      </c>
      <c r="K291" s="373">
        <v>1572.86</v>
      </c>
      <c r="L291" s="373">
        <v>1415.34</v>
      </c>
      <c r="M291" s="373">
        <v>1309.55</v>
      </c>
      <c r="N291" s="373">
        <v>1290.74</v>
      </c>
      <c r="O291" s="373">
        <v>1309.55</v>
      </c>
      <c r="P291" s="373">
        <v>679.45899999999995</v>
      </c>
      <c r="Q291" s="373">
        <v>173.97900000000001</v>
      </c>
      <c r="R291" s="373">
        <v>68.180999999999997</v>
      </c>
      <c r="S291" s="373">
        <v>0</v>
      </c>
      <c r="T291" s="373">
        <v>0</v>
      </c>
      <c r="U291" s="373">
        <v>0</v>
      </c>
      <c r="V291" s="373">
        <v>0</v>
      </c>
      <c r="W291" s="373">
        <v>0</v>
      </c>
      <c r="X291" s="373">
        <v>0</v>
      </c>
      <c r="Y291" s="382">
        <v>0</v>
      </c>
    </row>
    <row r="292" spans="1:25" ht="13.5" thickBot="1" x14ac:dyDescent="0.25">
      <c r="A292" s="379" t="s">
        <v>119</v>
      </c>
      <c r="B292" s="374">
        <f t="shared" ref="B292:X292" si="75">(C291+B291)*(C290-B290)/2</f>
        <v>27.271219999999996</v>
      </c>
      <c r="C292" s="375">
        <f t="shared" si="75"/>
        <v>122.24603999999998</v>
      </c>
      <c r="D292" s="375">
        <f t="shared" si="75"/>
        <v>306.35896500000001</v>
      </c>
      <c r="E292" s="375">
        <f t="shared" si="75"/>
        <v>1601.446025</v>
      </c>
      <c r="F292" s="375">
        <f t="shared" si="75"/>
        <v>440.71268999999995</v>
      </c>
      <c r="G292" s="375">
        <f t="shared" si="75"/>
        <v>455.60844000000003</v>
      </c>
      <c r="H292" s="375">
        <f t="shared" si="75"/>
        <v>361.27539000000007</v>
      </c>
      <c r="I292" s="375">
        <f t="shared" si="75"/>
        <v>370.04625000000033</v>
      </c>
      <c r="J292" s="375">
        <f t="shared" si="75"/>
        <v>420.40810000000005</v>
      </c>
      <c r="K292" s="375">
        <f t="shared" si="75"/>
        <v>478.11199999999974</v>
      </c>
      <c r="L292" s="375">
        <f t="shared" si="75"/>
        <v>414.18327999999974</v>
      </c>
      <c r="M292" s="375">
        <f t="shared" si="75"/>
        <v>165.11841500000028</v>
      </c>
      <c r="N292" s="375">
        <f t="shared" si="75"/>
        <v>58.506524999999904</v>
      </c>
      <c r="O292" s="375">
        <f t="shared" si="75"/>
        <v>69.615314999999839</v>
      </c>
      <c r="P292" s="375">
        <f t="shared" si="75"/>
        <v>23.469545000000068</v>
      </c>
      <c r="Q292" s="375">
        <f t="shared" si="75"/>
        <v>5.4485999999999919</v>
      </c>
      <c r="R292" s="375">
        <f t="shared" si="75"/>
        <v>2.4545160000000021</v>
      </c>
      <c r="S292" s="375">
        <f t="shared" si="75"/>
        <v>0</v>
      </c>
      <c r="T292" s="375">
        <f t="shared" si="75"/>
        <v>0</v>
      </c>
      <c r="U292" s="375">
        <f t="shared" si="75"/>
        <v>0</v>
      </c>
      <c r="V292" s="375">
        <f t="shared" si="75"/>
        <v>0</v>
      </c>
      <c r="W292" s="375">
        <f t="shared" si="75"/>
        <v>0</v>
      </c>
      <c r="X292" s="375">
        <f t="shared" si="75"/>
        <v>0</v>
      </c>
      <c r="Y292" s="369"/>
    </row>
    <row r="293" spans="1:25" ht="13.5" thickBot="1" x14ac:dyDescent="0.25">
      <c r="A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5" thickBot="1" x14ac:dyDescent="0.25">
      <c r="A294" s="361" t="s">
        <v>322</v>
      </c>
      <c r="B294" s="359">
        <f>ROW(A294)</f>
        <v>294</v>
      </c>
      <c r="C294" s="363" t="s">
        <v>118</v>
      </c>
      <c r="D294" s="353">
        <f>SUM(B297:Y297)</f>
        <v>7412.4371409999985</v>
      </c>
      <c r="E294" s="363" t="s">
        <v>117</v>
      </c>
      <c r="F294" s="354">
        <f>D294/g/J294</f>
        <v>223.28608637999045</v>
      </c>
      <c r="G294" s="363" t="s">
        <v>59</v>
      </c>
      <c r="H294" s="64">
        <v>6.25</v>
      </c>
      <c r="I294" s="363" t="s">
        <v>274</v>
      </c>
      <c r="J294" s="355">
        <f>H294-L294</f>
        <v>3.3839999999999999</v>
      </c>
      <c r="K294" s="363" t="s">
        <v>275</v>
      </c>
      <c r="L294" s="64">
        <v>2.8660000000000001</v>
      </c>
      <c r="M294" s="363" t="s">
        <v>60</v>
      </c>
      <c r="N294" s="65">
        <v>290</v>
      </c>
      <c r="O294" s="363" t="s">
        <v>62</v>
      </c>
      <c r="P294" s="65">
        <v>290</v>
      </c>
      <c r="Q294" s="363" t="s">
        <v>63</v>
      </c>
      <c r="R294" s="65">
        <v>579</v>
      </c>
      <c r="S294" s="363" t="s">
        <v>64</v>
      </c>
      <c r="T294" s="65">
        <v>98</v>
      </c>
      <c r="U294" s="363" t="s">
        <v>57</v>
      </c>
      <c r="V294" s="66" t="s">
        <v>121</v>
      </c>
      <c r="W294" s="12"/>
      <c r="X294" s="12"/>
      <c r="Y294" s="12"/>
    </row>
    <row r="295" spans="1:25" x14ac:dyDescent="0.2">
      <c r="A295" s="362" t="s">
        <v>33</v>
      </c>
      <c r="B295" s="370">
        <v>0</v>
      </c>
      <c r="C295" s="371">
        <v>1.7000000000000001E-2</v>
      </c>
      <c r="D295" s="371">
        <v>5.1999999999999998E-2</v>
      </c>
      <c r="E295" s="371">
        <v>8.7999999999999995E-2</v>
      </c>
      <c r="F295" s="371">
        <v>0.108</v>
      </c>
      <c r="G295" s="371">
        <v>0.127</v>
      </c>
      <c r="H295" s="371">
        <v>0.17399999999999999</v>
      </c>
      <c r="I295" s="371">
        <v>0.25700000000000001</v>
      </c>
      <c r="J295" s="371">
        <v>0.40300000000000002</v>
      </c>
      <c r="K295" s="371">
        <v>0.76200000000000001</v>
      </c>
      <c r="L295" s="371">
        <v>0.97699999999999998</v>
      </c>
      <c r="M295" s="371">
        <v>1.341</v>
      </c>
      <c r="N295" s="371">
        <v>1.5009999999999999</v>
      </c>
      <c r="O295" s="371">
        <v>1.661</v>
      </c>
      <c r="P295" s="371">
        <v>1.96</v>
      </c>
      <c r="Q295" s="371">
        <v>2.4039999999999999</v>
      </c>
      <c r="R295" s="371">
        <v>2.641</v>
      </c>
      <c r="S295" s="371">
        <v>2.7160000000000002</v>
      </c>
      <c r="T295" s="371">
        <v>2.8210000000000002</v>
      </c>
      <c r="U295" s="371">
        <v>2.8919999999999999</v>
      </c>
      <c r="V295" s="371">
        <v>2.92</v>
      </c>
      <c r="W295" s="371">
        <v>2.97</v>
      </c>
      <c r="X295" s="371">
        <v>3</v>
      </c>
      <c r="Y295" s="381">
        <v>1000</v>
      </c>
    </row>
    <row r="296" spans="1:25" x14ac:dyDescent="0.2">
      <c r="A296" s="378" t="s">
        <v>34</v>
      </c>
      <c r="B296" s="372">
        <v>0</v>
      </c>
      <c r="C296" s="373">
        <v>329.84699999999998</v>
      </c>
      <c r="D296" s="373">
        <v>1003.68</v>
      </c>
      <c r="E296" s="373">
        <v>2346.62</v>
      </c>
      <c r="F296" s="373">
        <v>2549.2399999999998</v>
      </c>
      <c r="G296" s="373">
        <v>2605.79</v>
      </c>
      <c r="H296" s="373">
        <v>2520.9699999999998</v>
      </c>
      <c r="I296" s="373">
        <v>2516.2600000000002</v>
      </c>
      <c r="J296" s="373">
        <v>2596.37</v>
      </c>
      <c r="K296" s="373">
        <v>2808.41</v>
      </c>
      <c r="L296" s="373">
        <v>2954.49</v>
      </c>
      <c r="M296" s="373">
        <v>2959.2</v>
      </c>
      <c r="N296" s="373">
        <v>2907.36</v>
      </c>
      <c r="O296" s="373">
        <v>2869.67</v>
      </c>
      <c r="P296" s="373">
        <v>2695.32</v>
      </c>
      <c r="Q296" s="373">
        <v>2351.34</v>
      </c>
      <c r="R296" s="373">
        <v>2228.8200000000002</v>
      </c>
      <c r="S296" s="373">
        <v>2007.35</v>
      </c>
      <c r="T296" s="373">
        <v>1427.77</v>
      </c>
      <c r="U296" s="373">
        <v>504.19400000000002</v>
      </c>
      <c r="V296" s="373">
        <v>334.55900000000003</v>
      </c>
      <c r="W296" s="373">
        <v>122.515</v>
      </c>
      <c r="X296" s="373">
        <v>0</v>
      </c>
      <c r="Y296" s="382">
        <v>0</v>
      </c>
    </row>
    <row r="297" spans="1:25" ht="13.5" thickBot="1" x14ac:dyDescent="0.25">
      <c r="A297" s="379" t="s">
        <v>119</v>
      </c>
      <c r="B297" s="374">
        <f t="shared" ref="B297:X297" si="76">(C296+B296)*(C295-B295)/2</f>
        <v>2.8036995</v>
      </c>
      <c r="C297" s="375">
        <f t="shared" si="76"/>
        <v>23.336722499999997</v>
      </c>
      <c r="D297" s="375">
        <f t="shared" si="76"/>
        <v>60.305399999999992</v>
      </c>
      <c r="E297" s="375">
        <f t="shared" si="76"/>
        <v>48.958600000000004</v>
      </c>
      <c r="F297" s="375">
        <f t="shared" si="76"/>
        <v>48.972785000000002</v>
      </c>
      <c r="G297" s="375">
        <f t="shared" si="76"/>
        <v>120.47885999999997</v>
      </c>
      <c r="H297" s="375">
        <f t="shared" si="76"/>
        <v>209.04504500000002</v>
      </c>
      <c r="I297" s="375">
        <f t="shared" si="76"/>
        <v>373.22199000000006</v>
      </c>
      <c r="J297" s="375">
        <f t="shared" si="76"/>
        <v>970.15800999999988</v>
      </c>
      <c r="K297" s="375">
        <f t="shared" si="76"/>
        <v>619.51174999999989</v>
      </c>
      <c r="L297" s="375">
        <f t="shared" si="76"/>
        <v>1076.2915799999998</v>
      </c>
      <c r="M297" s="375">
        <f t="shared" si="76"/>
        <v>469.3247999999997</v>
      </c>
      <c r="N297" s="375">
        <f t="shared" si="76"/>
        <v>462.16240000000045</v>
      </c>
      <c r="O297" s="375">
        <f t="shared" si="76"/>
        <v>831.96600499999977</v>
      </c>
      <c r="P297" s="375">
        <f t="shared" si="76"/>
        <v>1120.3585199999998</v>
      </c>
      <c r="Q297" s="375">
        <f t="shared" si="76"/>
        <v>542.74896000000024</v>
      </c>
      <c r="R297" s="375">
        <f t="shared" si="76"/>
        <v>158.85637500000038</v>
      </c>
      <c r="S297" s="375">
        <f t="shared" si="76"/>
        <v>180.34379999999996</v>
      </c>
      <c r="T297" s="375">
        <f t="shared" si="76"/>
        <v>68.584721999999744</v>
      </c>
      <c r="U297" s="375">
        <f t="shared" si="76"/>
        <v>11.742542000000011</v>
      </c>
      <c r="V297" s="375">
        <f t="shared" si="76"/>
        <v>11.42685000000006</v>
      </c>
      <c r="W297" s="375">
        <f t="shared" si="76"/>
        <v>1.8377249999999881</v>
      </c>
      <c r="X297" s="375">
        <f t="shared" si="76"/>
        <v>0</v>
      </c>
      <c r="Y297" s="369"/>
    </row>
    <row r="298" spans="1:25" ht="13.5" thickBot="1" x14ac:dyDescent="0.2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5" thickBot="1" x14ac:dyDescent="0.25">
      <c r="A299" s="361" t="s">
        <v>47</v>
      </c>
      <c r="B299" s="359">
        <f>ROW(A299)</f>
        <v>299</v>
      </c>
      <c r="C299" s="363" t="s">
        <v>118</v>
      </c>
      <c r="D299" s="353">
        <f>SUM(B302:Y302)</f>
        <v>1E-3</v>
      </c>
      <c r="E299" s="363" t="s">
        <v>117</v>
      </c>
      <c r="F299" s="354">
        <f>D299/g/J299</f>
        <v>1.019367991845056</v>
      </c>
      <c r="G299" s="363" t="s">
        <v>59</v>
      </c>
      <c r="H299" s="64">
        <v>1E-4</v>
      </c>
      <c r="I299" s="363" t="s">
        <v>274</v>
      </c>
      <c r="J299" s="355">
        <f>H299-L299</f>
        <v>1E-4</v>
      </c>
      <c r="K299" s="363" t="s">
        <v>275</v>
      </c>
      <c r="L299" s="64">
        <v>0</v>
      </c>
      <c r="M299" s="363" t="s">
        <v>60</v>
      </c>
      <c r="N299" s="65">
        <v>0</v>
      </c>
      <c r="O299" s="363" t="s">
        <v>62</v>
      </c>
      <c r="P299" s="65">
        <v>0</v>
      </c>
      <c r="Q299" s="363" t="s">
        <v>63</v>
      </c>
      <c r="R299" s="65">
        <v>0</v>
      </c>
      <c r="S299" s="363" t="s">
        <v>64</v>
      </c>
      <c r="T299" s="65">
        <v>0</v>
      </c>
      <c r="U299" s="363" t="s">
        <v>57</v>
      </c>
      <c r="V299" s="66" t="s">
        <v>121</v>
      </c>
      <c r="W299" s="12"/>
      <c r="X299" s="12"/>
      <c r="Y299" s="12"/>
    </row>
    <row r="300" spans="1:25" x14ac:dyDescent="0.2">
      <c r="A300" s="362" t="s">
        <v>33</v>
      </c>
      <c r="B300" s="370">
        <v>0</v>
      </c>
      <c r="C300" s="371">
        <v>0.1</v>
      </c>
      <c r="D300" s="371">
        <v>0.2</v>
      </c>
      <c r="E300" s="371">
        <v>1</v>
      </c>
      <c r="F300" s="371">
        <v>1</v>
      </c>
      <c r="G300" s="371">
        <v>1</v>
      </c>
      <c r="H300" s="371">
        <v>1</v>
      </c>
      <c r="I300" s="371">
        <v>1</v>
      </c>
      <c r="J300" s="371">
        <v>1</v>
      </c>
      <c r="K300" s="371">
        <v>1</v>
      </c>
      <c r="L300" s="371">
        <v>1</v>
      </c>
      <c r="M300" s="371">
        <v>1</v>
      </c>
      <c r="N300" s="371">
        <v>1</v>
      </c>
      <c r="O300" s="371">
        <v>1</v>
      </c>
      <c r="P300" s="371">
        <v>1</v>
      </c>
      <c r="Q300" s="371">
        <v>1</v>
      </c>
      <c r="R300" s="371">
        <v>1</v>
      </c>
      <c r="S300" s="371">
        <v>1</v>
      </c>
      <c r="T300" s="371">
        <v>1</v>
      </c>
      <c r="U300" s="371">
        <v>1</v>
      </c>
      <c r="V300" s="371">
        <v>1</v>
      </c>
      <c r="W300" s="371">
        <v>1</v>
      </c>
      <c r="X300" s="371">
        <v>1</v>
      </c>
      <c r="Y300" s="381">
        <v>1000</v>
      </c>
    </row>
    <row r="301" spans="1:25" x14ac:dyDescent="0.2">
      <c r="A301" s="378" t="s">
        <v>34</v>
      </c>
      <c r="B301" s="372">
        <v>0</v>
      </c>
      <c r="C301" s="373">
        <v>0.01</v>
      </c>
      <c r="D301" s="373">
        <v>0</v>
      </c>
      <c r="E301" s="373">
        <v>0</v>
      </c>
      <c r="F301" s="373">
        <v>0</v>
      </c>
      <c r="G301" s="373">
        <v>0</v>
      </c>
      <c r="H301" s="373">
        <v>0</v>
      </c>
      <c r="I301" s="373">
        <v>0</v>
      </c>
      <c r="J301" s="373">
        <v>0</v>
      </c>
      <c r="K301" s="373">
        <v>0</v>
      </c>
      <c r="L301" s="373">
        <v>0</v>
      </c>
      <c r="M301" s="373">
        <v>0</v>
      </c>
      <c r="N301" s="373">
        <v>0</v>
      </c>
      <c r="O301" s="373">
        <v>0</v>
      </c>
      <c r="P301" s="373">
        <v>0</v>
      </c>
      <c r="Q301" s="373">
        <v>0</v>
      </c>
      <c r="R301" s="373">
        <v>0</v>
      </c>
      <c r="S301" s="373">
        <v>0</v>
      </c>
      <c r="T301" s="373">
        <v>0</v>
      </c>
      <c r="U301" s="373">
        <v>0</v>
      </c>
      <c r="V301" s="373">
        <v>0</v>
      </c>
      <c r="W301" s="373">
        <v>0</v>
      </c>
      <c r="X301" s="373">
        <v>0</v>
      </c>
      <c r="Y301" s="382">
        <v>0</v>
      </c>
    </row>
    <row r="302" spans="1:25" ht="13.5" thickBot="1" x14ac:dyDescent="0.25">
      <c r="A302" s="379" t="s">
        <v>119</v>
      </c>
      <c r="B302" s="374">
        <f t="shared" ref="B302:G302" si="77">(C301+B301)*(C300-B300)/2</f>
        <v>5.0000000000000001E-4</v>
      </c>
      <c r="C302" s="375">
        <f t="shared" si="77"/>
        <v>5.0000000000000001E-4</v>
      </c>
      <c r="D302" s="375">
        <f t="shared" si="77"/>
        <v>0</v>
      </c>
      <c r="E302" s="375">
        <f t="shared" si="77"/>
        <v>0</v>
      </c>
      <c r="F302" s="375">
        <f t="shared" si="77"/>
        <v>0</v>
      </c>
      <c r="G302" s="375">
        <f t="shared" si="77"/>
        <v>0</v>
      </c>
      <c r="H302" s="375">
        <f t="shared" ref="H302:V302" si="78">(I301+H301)*(I300-H300)/2</f>
        <v>0</v>
      </c>
      <c r="I302" s="375">
        <f t="shared" si="78"/>
        <v>0</v>
      </c>
      <c r="J302" s="375">
        <f>(K301+J301)*(K300-J300)/2</f>
        <v>0</v>
      </c>
      <c r="K302" s="375">
        <f t="shared" si="78"/>
        <v>0</v>
      </c>
      <c r="L302" s="375">
        <f t="shared" si="78"/>
        <v>0</v>
      </c>
      <c r="M302" s="375">
        <f t="shared" si="78"/>
        <v>0</v>
      </c>
      <c r="N302" s="375">
        <f t="shared" si="78"/>
        <v>0</v>
      </c>
      <c r="O302" s="375">
        <f t="shared" si="78"/>
        <v>0</v>
      </c>
      <c r="P302" s="375">
        <f t="shared" si="78"/>
        <v>0</v>
      </c>
      <c r="Q302" s="375">
        <f t="shared" si="78"/>
        <v>0</v>
      </c>
      <c r="R302" s="375">
        <f t="shared" si="78"/>
        <v>0</v>
      </c>
      <c r="S302" s="375">
        <f>(T301+S301)*(T300-S300)/2</f>
        <v>0</v>
      </c>
      <c r="T302" s="375">
        <f t="shared" si="78"/>
        <v>0</v>
      </c>
      <c r="U302" s="375">
        <f t="shared" si="78"/>
        <v>0</v>
      </c>
      <c r="V302" s="375">
        <f t="shared" si="78"/>
        <v>0</v>
      </c>
      <c r="W302" s="375">
        <f>(X301+W301)*(X300-W300)/2</f>
        <v>0</v>
      </c>
      <c r="X302" s="375">
        <f>(Y301+X301)*(Y300-X300)/2</f>
        <v>0</v>
      </c>
      <c r="Y302" s="369"/>
    </row>
    <row r="304" spans="1:25" x14ac:dyDescent="0.2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6" spans="1:19" x14ac:dyDescent="0.2">
      <c r="A306" s="397" t="str">
        <f>IF(Lang="Français","Liste des propu affichés :","Motor list (shown):")</f>
        <v>Liste des propu affichés :</v>
      </c>
      <c r="C306" s="640" t="s">
        <v>279</v>
      </c>
      <c r="D306" s="641"/>
      <c r="F306" s="640" t="s">
        <v>184</v>
      </c>
      <c r="G306" s="641"/>
      <c r="H306" s="12"/>
      <c r="I306" s="640" t="s">
        <v>401</v>
      </c>
      <c r="J306" s="641"/>
      <c r="K306" s="12"/>
      <c r="L306" s="640" t="s">
        <v>185</v>
      </c>
      <c r="M306" s="641"/>
      <c r="O306" s="640" t="s">
        <v>400</v>
      </c>
      <c r="P306" s="641"/>
      <c r="R306" s="640" t="s">
        <v>121</v>
      </c>
      <c r="S306" s="641"/>
    </row>
    <row r="307" spans="1:19" x14ac:dyDescent="0.2">
      <c r="A307" s="398" t="str">
        <f t="array" ref="A307:A336">IF(RIGHT(Type_fusee,1)=".",Liste_fusex, IF(LEFT(Type_fusee,4)="Mini",Liste_minif, IF(LEFT(Type_fusee,5)="Micro",Liste_µfu, IF(RIGHT(Type_fusee,1)=" ",Liste_H2O, IF(LEFT(Type_fusee,1)="R",Liste_RC, IF(LEFT(Type_fusee,1)=",",Liste_minifT))))))</f>
        <v>Barasinga (Pro54-5G)</v>
      </c>
      <c r="C307" s="630" t="str">
        <f>A26</f>
        <v>H2O 1.5L 300g 6bar</v>
      </c>
      <c r="D307" s="631"/>
      <c r="F307" s="630" t="str">
        <f>A67</f>
        <v>µ-propu A8-3</v>
      </c>
      <c r="G307" s="631"/>
      <c r="H307" s="473"/>
      <c r="I307" s="634" t="str">
        <f>A133</f>
        <v>p29-1G 41F36</v>
      </c>
      <c r="J307" s="635"/>
      <c r="K307" s="473"/>
      <c r="L307" s="634" t="str">
        <f>A113</f>
        <v>p24-1G 25E75 (Rufina)</v>
      </c>
      <c r="M307" s="635"/>
      <c r="O307" s="630" t="str">
        <f>A108</f>
        <v>p24-1G 24E22</v>
      </c>
      <c r="P307" s="631"/>
      <c r="R307" s="630" t="str">
        <f>A274</f>
        <v>Barasinga (Pro54-5G)</v>
      </c>
      <c r="S307" s="631"/>
    </row>
    <row r="308" spans="1:19" x14ac:dyDescent="0.2">
      <c r="A308" s="398" t="str">
        <v>Orignal (Pro75-3G)</v>
      </c>
      <c r="C308" s="630" t="str">
        <f>A31</f>
        <v>H2O 1.5L 450g 6bar</v>
      </c>
      <c r="D308" s="631"/>
      <c r="F308" s="630" t="str">
        <f>A72</f>
        <v>µ-propu B4-4</v>
      </c>
      <c r="G308" s="631"/>
      <c r="H308" s="473"/>
      <c r="I308" s="634" t="str">
        <f>A138</f>
        <v>p29-1G 51F36</v>
      </c>
      <c r="J308" s="635"/>
      <c r="K308" s="473"/>
      <c r="L308" s="634" t="str">
        <f>A148</f>
        <v>p29-1G 56F120</v>
      </c>
      <c r="M308" s="635"/>
      <c r="O308" s="630" t="str">
        <f>A113</f>
        <v>p24-1G 25E75 (Rufina)</v>
      </c>
      <c r="P308" s="631"/>
      <c r="R308" s="630" t="str">
        <f>A284</f>
        <v>Orignal (Pro75-3G)</v>
      </c>
      <c r="S308" s="631"/>
    </row>
    <row r="309" spans="1:19" x14ac:dyDescent="0.2">
      <c r="A309" s="398" t="str">
        <v xml:space="preserve"> </v>
      </c>
      <c r="C309" s="630" t="str">
        <f>A36</f>
        <v>H2O 1.5L 600g 6bar</v>
      </c>
      <c r="D309" s="631"/>
      <c r="F309" s="630" t="str">
        <f>A77</f>
        <v>µ-propu C6-3</v>
      </c>
      <c r="G309" s="631"/>
      <c r="H309" s="473"/>
      <c r="I309" s="634" t="str">
        <f>A143</f>
        <v>p29-1G 55F29</v>
      </c>
      <c r="J309" s="635"/>
      <c r="K309" s="473"/>
      <c r="L309" s="634" t="str">
        <f>A218</f>
        <v>p29-2G 110G250</v>
      </c>
      <c r="M309" s="635"/>
      <c r="O309" s="630" t="str">
        <f>A118</f>
        <v>p24-1G 26E31</v>
      </c>
      <c r="P309" s="631"/>
      <c r="R309" s="630" t="s">
        <v>186</v>
      </c>
      <c r="S309" s="631"/>
    </row>
    <row r="310" spans="1:19" x14ac:dyDescent="0.2">
      <c r="A310" s="398" t="str">
        <v xml:space="preserve"> </v>
      </c>
      <c r="C310" s="630" t="str">
        <f>A41</f>
        <v>H2O 1.5L 750g 6bar</v>
      </c>
      <c r="D310" s="631"/>
      <c r="F310" s="630" t="str">
        <f>A82</f>
        <v>µ-propu C6-3 x2</v>
      </c>
      <c r="G310" s="631"/>
      <c r="H310" s="473"/>
      <c r="I310" s="634" t="str">
        <f>A148</f>
        <v>p29-1G 56F120</v>
      </c>
      <c r="J310" s="635"/>
      <c r="K310" s="473"/>
      <c r="L310" s="634" t="str">
        <f>A258</f>
        <v>Cariacou</v>
      </c>
      <c r="M310" s="635"/>
      <c r="O310" s="630" t="str">
        <f>A123</f>
        <v>p24-2G 50E51</v>
      </c>
      <c r="P310" s="631"/>
      <c r="R310" s="630" t="s">
        <v>186</v>
      </c>
      <c r="S310" s="631"/>
    </row>
    <row r="311" spans="1:19" x14ac:dyDescent="0.2">
      <c r="A311" s="398" t="str">
        <v xml:space="preserve"> </v>
      </c>
      <c r="C311" s="630" t="str">
        <f>A46</f>
        <v>H2O 2.0L 400g 6bar</v>
      </c>
      <c r="D311" s="631"/>
      <c r="F311" s="630" t="str">
        <f>A87</f>
        <v>µ-propu C6-3 x3</v>
      </c>
      <c r="G311" s="631"/>
      <c r="H311" s="473"/>
      <c r="I311" s="634" t="str">
        <f>A153</f>
        <v>p29-1G 57F59</v>
      </c>
      <c r="J311" s="635"/>
      <c r="K311" s="473"/>
      <c r="L311" s="634" t="str">
        <f>A193</f>
        <v>Pandora</v>
      </c>
      <c r="M311" s="635"/>
      <c r="O311" s="630" t="str">
        <f>A128</f>
        <v>p24-1G 53E70</v>
      </c>
      <c r="P311" s="631"/>
      <c r="R311" s="630" t="s">
        <v>186</v>
      </c>
      <c r="S311" s="631"/>
    </row>
    <row r="312" spans="1:19" x14ac:dyDescent="0.2">
      <c r="A312" s="398" t="str">
        <v xml:space="preserve"> </v>
      </c>
      <c r="C312" s="630" t="str">
        <f>A51</f>
        <v>H2O 2.0L 600g 6bar</v>
      </c>
      <c r="D312" s="631"/>
      <c r="F312" s="630" t="s">
        <v>186</v>
      </c>
      <c r="G312" s="631"/>
      <c r="H312" s="473"/>
      <c r="I312" s="634" t="str">
        <f>A158</f>
        <v>p24-3G 60F50</v>
      </c>
      <c r="J312" s="635"/>
      <c r="K312" s="473"/>
      <c r="L312" s="630" t="s">
        <v>186</v>
      </c>
      <c r="M312" s="631"/>
      <c r="O312" s="630" t="str">
        <f>A133</f>
        <v>p29-1G 41F36</v>
      </c>
      <c r="P312" s="631"/>
      <c r="R312" s="630" t="s">
        <v>186</v>
      </c>
      <c r="S312" s="631"/>
    </row>
    <row r="313" spans="1:19" x14ac:dyDescent="0.2">
      <c r="A313" s="398" t="str">
        <v xml:space="preserve"> </v>
      </c>
      <c r="C313" s="630" t="str">
        <f>A56</f>
        <v>H2O 2.0L 800g 6bar</v>
      </c>
      <c r="D313" s="631"/>
      <c r="F313" s="630" t="s">
        <v>186</v>
      </c>
      <c r="G313" s="631"/>
      <c r="H313" s="473"/>
      <c r="I313" s="634" t="str">
        <f>A163</f>
        <v>p24-3G 68F79</v>
      </c>
      <c r="J313" s="635"/>
      <c r="K313" s="473"/>
      <c r="L313" s="630" t="s">
        <v>186</v>
      </c>
      <c r="M313" s="631"/>
      <c r="O313" s="630" t="str">
        <f>A138</f>
        <v>p29-1G 51F36</v>
      </c>
      <c r="P313" s="631"/>
      <c r="R313" s="630" t="s">
        <v>186</v>
      </c>
      <c r="S313" s="631"/>
    </row>
    <row r="314" spans="1:19" x14ac:dyDescent="0.2">
      <c r="A314" s="398" t="str">
        <v xml:space="preserve"> </v>
      </c>
      <c r="C314" s="630" t="str">
        <f>A61</f>
        <v>H2O 2.0L 1000g 6bar</v>
      </c>
      <c r="D314" s="631"/>
      <c r="F314" s="630" t="s">
        <v>186</v>
      </c>
      <c r="G314" s="631"/>
      <c r="H314" s="473"/>
      <c r="I314" s="634" t="str">
        <f>A168</f>
        <v>p24-3G 68F240</v>
      </c>
      <c r="J314" s="635"/>
      <c r="K314" s="473"/>
      <c r="L314" s="630" t="s">
        <v>186</v>
      </c>
      <c r="M314" s="631"/>
      <c r="O314" s="630" t="str">
        <f>A143</f>
        <v>p29-1G 55F29</v>
      </c>
      <c r="P314" s="631"/>
      <c r="R314" s="630" t="s">
        <v>186</v>
      </c>
      <c r="S314" s="631"/>
    </row>
    <row r="315" spans="1:19" x14ac:dyDescent="0.2">
      <c r="A315" s="398" t="str">
        <v xml:space="preserve"> </v>
      </c>
      <c r="C315" s="630" t="s">
        <v>186</v>
      </c>
      <c r="D315" s="631"/>
      <c r="F315" s="630" t="s">
        <v>186</v>
      </c>
      <c r="G315" s="631"/>
      <c r="H315" s="473"/>
      <c r="I315" s="634" t="str">
        <f>A173</f>
        <v>p24-3G 73F30</v>
      </c>
      <c r="J315" s="635"/>
      <c r="K315" s="473"/>
      <c r="L315" s="630" t="s">
        <v>186</v>
      </c>
      <c r="M315" s="631"/>
      <c r="O315" s="630" t="str">
        <f>A148</f>
        <v>p29-1G 56F120</v>
      </c>
      <c r="P315" s="631"/>
      <c r="R315" s="630" t="s">
        <v>186</v>
      </c>
      <c r="S315" s="631"/>
    </row>
    <row r="316" spans="1:19" x14ac:dyDescent="0.2">
      <c r="A316" s="398" t="str">
        <v xml:space="preserve"> </v>
      </c>
      <c r="C316" s="630" t="s">
        <v>186</v>
      </c>
      <c r="D316" s="631"/>
      <c r="F316" s="630" t="s">
        <v>186</v>
      </c>
      <c r="G316" s="631"/>
      <c r="H316" s="473"/>
      <c r="I316" s="634" t="str">
        <f>A178</f>
        <v>p24-3G 74F85</v>
      </c>
      <c r="J316" s="635"/>
      <c r="K316" s="473"/>
      <c r="L316" s="630" t="s">
        <v>186</v>
      </c>
      <c r="M316" s="631"/>
      <c r="O316" s="630" t="str">
        <f>A153</f>
        <v>p29-1G 57F59</v>
      </c>
      <c r="P316" s="631"/>
      <c r="R316" s="630" t="s">
        <v>186</v>
      </c>
      <c r="S316" s="631"/>
    </row>
    <row r="317" spans="1:19" x14ac:dyDescent="0.2">
      <c r="A317" s="398" t="str">
        <v xml:space="preserve"> </v>
      </c>
      <c r="C317" s="630" t="s">
        <v>186</v>
      </c>
      <c r="D317" s="631"/>
      <c r="F317" s="630" t="s">
        <v>186</v>
      </c>
      <c r="G317" s="631"/>
      <c r="H317" s="473"/>
      <c r="I317" s="634" t="str">
        <f>A183</f>
        <v>p24-3G 75F51</v>
      </c>
      <c r="J317" s="635"/>
      <c r="K317" s="473"/>
      <c r="L317" s="630" t="s">
        <v>186</v>
      </c>
      <c r="M317" s="631"/>
      <c r="O317" s="630" t="str">
        <f>A158</f>
        <v>p24-3G 60F50</v>
      </c>
      <c r="P317" s="631"/>
      <c r="R317" s="630" t="s">
        <v>186</v>
      </c>
      <c r="S317" s="631"/>
    </row>
    <row r="318" spans="1:19" x14ac:dyDescent="0.2">
      <c r="A318" s="398" t="str">
        <v xml:space="preserve"> </v>
      </c>
      <c r="C318" s="630" t="s">
        <v>186</v>
      </c>
      <c r="D318" s="631"/>
      <c r="F318" s="630" t="s">
        <v>186</v>
      </c>
      <c r="G318" s="631"/>
      <c r="H318" s="473"/>
      <c r="I318" s="634"/>
      <c r="J318" s="635"/>
      <c r="K318" s="473"/>
      <c r="L318" s="630" t="s">
        <v>186</v>
      </c>
      <c r="M318" s="631"/>
      <c r="O318" s="630" t="str">
        <f>A163</f>
        <v>p24-3G 68F79</v>
      </c>
      <c r="P318" s="631"/>
      <c r="R318" s="630" t="s">
        <v>186</v>
      </c>
      <c r="S318" s="631"/>
    </row>
    <row r="319" spans="1:19" x14ac:dyDescent="0.2">
      <c r="A319" s="398" t="str">
        <v xml:space="preserve"> </v>
      </c>
      <c r="C319" s="630" t="s">
        <v>186</v>
      </c>
      <c r="D319" s="631"/>
      <c r="F319" s="630" t="s">
        <v>186</v>
      </c>
      <c r="G319" s="631"/>
      <c r="H319" s="473"/>
      <c r="I319" s="634"/>
      <c r="J319" s="635"/>
      <c r="K319" s="473"/>
      <c r="L319" s="630" t="s">
        <v>186</v>
      </c>
      <c r="M319" s="631"/>
      <c r="O319" s="630" t="str">
        <f>A168</f>
        <v>p24-3G 68F240</v>
      </c>
      <c r="P319" s="631"/>
      <c r="R319" s="630" t="s">
        <v>186</v>
      </c>
      <c r="S319" s="631"/>
    </row>
    <row r="320" spans="1:19" x14ac:dyDescent="0.2">
      <c r="A320" s="398" t="str">
        <v xml:space="preserve"> </v>
      </c>
      <c r="C320" s="630" t="s">
        <v>186</v>
      </c>
      <c r="D320" s="631"/>
      <c r="F320" s="630" t="s">
        <v>186</v>
      </c>
      <c r="G320" s="631"/>
      <c r="H320" s="473"/>
      <c r="I320" s="634"/>
      <c r="J320" s="635"/>
      <c r="K320" s="473"/>
      <c r="L320" s="630" t="s">
        <v>186</v>
      </c>
      <c r="M320" s="631"/>
      <c r="O320" s="630" t="str">
        <f>A173</f>
        <v>p24-3G 73F30</v>
      </c>
      <c r="P320" s="631"/>
      <c r="R320" s="630" t="s">
        <v>186</v>
      </c>
      <c r="S320" s="631"/>
    </row>
    <row r="321" spans="1:19" x14ac:dyDescent="0.2">
      <c r="A321" s="398" t="str">
        <v xml:space="preserve"> </v>
      </c>
      <c r="C321" s="630" t="s">
        <v>186</v>
      </c>
      <c r="D321" s="631"/>
      <c r="F321" s="630" t="s">
        <v>186</v>
      </c>
      <c r="G321" s="631"/>
      <c r="H321" s="473"/>
      <c r="I321" s="637" t="s">
        <v>186</v>
      </c>
      <c r="J321" s="638"/>
      <c r="K321" s="473"/>
      <c r="L321" s="630" t="s">
        <v>186</v>
      </c>
      <c r="M321" s="631"/>
      <c r="O321" s="630" t="str">
        <f>A178</f>
        <v>p24-3G 74F85</v>
      </c>
      <c r="P321" s="631"/>
      <c r="R321" s="630" t="s">
        <v>186</v>
      </c>
      <c r="S321" s="631"/>
    </row>
    <row r="322" spans="1:19" x14ac:dyDescent="0.2">
      <c r="A322" s="462" t="str">
        <v xml:space="preserve"> </v>
      </c>
      <c r="C322" s="632" t="s">
        <v>186</v>
      </c>
      <c r="D322" s="633"/>
      <c r="F322" s="632" t="s">
        <v>186</v>
      </c>
      <c r="G322" s="633"/>
      <c r="H322" s="473"/>
      <c r="I322" s="632" t="s">
        <v>186</v>
      </c>
      <c r="J322" s="633"/>
      <c r="K322" s="473"/>
      <c r="L322" s="632" t="s">
        <v>186</v>
      </c>
      <c r="M322" s="633"/>
      <c r="O322" s="630" t="str">
        <f>A183</f>
        <v>p24-3G 75F51</v>
      </c>
      <c r="P322" s="631"/>
      <c r="R322" s="632" t="s">
        <v>186</v>
      </c>
      <c r="S322" s="633"/>
    </row>
    <row r="323" spans="1:19" x14ac:dyDescent="0.2">
      <c r="A323" s="398" t="str">
        <v xml:space="preserve"> </v>
      </c>
      <c r="C323" s="639" t="s">
        <v>186</v>
      </c>
      <c r="D323" s="639"/>
      <c r="F323" s="639" t="s">
        <v>186</v>
      </c>
      <c r="G323" s="639"/>
      <c r="I323" s="636" t="s">
        <v>186</v>
      </c>
      <c r="J323" s="636"/>
      <c r="L323" s="636" t="s">
        <v>186</v>
      </c>
      <c r="M323" s="636"/>
      <c r="O323" s="630" t="str">
        <f>A208</f>
        <v>p29-2G 84G88</v>
      </c>
      <c r="P323" s="631"/>
      <c r="R323" s="643" t="s">
        <v>186</v>
      </c>
      <c r="S323" s="643"/>
    </row>
    <row r="324" spans="1:19" x14ac:dyDescent="0.2">
      <c r="A324" s="398" t="str">
        <v>Isard</v>
      </c>
      <c r="C324" s="629" t="s">
        <v>186</v>
      </c>
      <c r="D324" s="629"/>
      <c r="F324" s="629" t="s">
        <v>186</v>
      </c>
      <c r="G324" s="629"/>
      <c r="I324" s="636" t="s">
        <v>186</v>
      </c>
      <c r="J324" s="636"/>
      <c r="L324" s="636" t="s">
        <v>186</v>
      </c>
      <c r="M324" s="636"/>
      <c r="O324" s="630" t="str">
        <f>A213</f>
        <v>p29-2G 93G80</v>
      </c>
      <c r="P324" s="631"/>
      <c r="R324" s="642" t="str">
        <f>A264</f>
        <v>Isard</v>
      </c>
      <c r="S324" s="642"/>
    </row>
    <row r="325" spans="1:19" x14ac:dyDescent="0.2">
      <c r="A325" s="398" t="str">
        <v>Chamois</v>
      </c>
      <c r="C325" s="629" t="s">
        <v>186</v>
      </c>
      <c r="D325" s="629"/>
      <c r="F325" s="629" t="s">
        <v>186</v>
      </c>
      <c r="G325" s="629"/>
      <c r="I325" s="636" t="s">
        <v>186</v>
      </c>
      <c r="J325" s="636"/>
      <c r="L325" s="636" t="s">
        <v>186</v>
      </c>
      <c r="M325" s="636"/>
      <c r="O325" s="630" t="str">
        <f>A218</f>
        <v>p29-2G 110G250</v>
      </c>
      <c r="P325" s="631"/>
      <c r="R325" s="642" t="str">
        <f>A269</f>
        <v>Chamois</v>
      </c>
      <c r="S325" s="642"/>
    </row>
    <row r="326" spans="1:19" x14ac:dyDescent="0.2">
      <c r="A326" s="398" t="str">
        <v>Pro75-2G</v>
      </c>
      <c r="C326" s="629" t="s">
        <v>186</v>
      </c>
      <c r="D326" s="629"/>
      <c r="F326" s="629" t="s">
        <v>186</v>
      </c>
      <c r="G326" s="629"/>
      <c r="I326" s="636" t="s">
        <v>186</v>
      </c>
      <c r="J326" s="636"/>
      <c r="L326" s="636" t="s">
        <v>186</v>
      </c>
      <c r="M326" s="636"/>
      <c r="O326" s="630" t="str">
        <f>A223</f>
        <v>p29-2G 116G126</v>
      </c>
      <c r="P326" s="631"/>
      <c r="R326" s="642" t="str">
        <f>A279</f>
        <v>Pro75-2G</v>
      </c>
      <c r="S326" s="642"/>
    </row>
    <row r="327" spans="1:19" x14ac:dyDescent="0.2">
      <c r="A327" s="398" t="str">
        <v>Pro98-2G WT</v>
      </c>
      <c r="C327" s="629" t="s">
        <v>186</v>
      </c>
      <c r="D327" s="629"/>
      <c r="F327" s="629" t="s">
        <v>186</v>
      </c>
      <c r="G327" s="629"/>
      <c r="I327" s="636" t="s">
        <v>186</v>
      </c>
      <c r="J327" s="636"/>
      <c r="L327" s="636" t="s">
        <v>186</v>
      </c>
      <c r="M327" s="636"/>
      <c r="O327" s="630" t="str">
        <f>A228</f>
        <v>p29-3G 125G131</v>
      </c>
      <c r="P327" s="631"/>
      <c r="R327" s="642" t="str">
        <f>A289</f>
        <v>Pro98-2G WT</v>
      </c>
      <c r="S327" s="642"/>
    </row>
    <row r="328" spans="1:19" x14ac:dyDescent="0.2">
      <c r="A328" s="398" t="str">
        <v>Pro98-3G WT</v>
      </c>
      <c r="C328" s="629" t="s">
        <v>186</v>
      </c>
      <c r="D328" s="629"/>
      <c r="F328" s="629" t="s">
        <v>186</v>
      </c>
      <c r="G328" s="629"/>
      <c r="I328" s="636" t="s">
        <v>186</v>
      </c>
      <c r="J328" s="636"/>
      <c r="L328" s="636" t="s">
        <v>186</v>
      </c>
      <c r="M328" s="636"/>
      <c r="O328" s="630" t="str">
        <f>A243</f>
        <v>p38-1G 128G185</v>
      </c>
      <c r="P328" s="631"/>
      <c r="R328" s="642" t="str">
        <f>A294</f>
        <v>Pro98-3G WT</v>
      </c>
      <c r="S328" s="642"/>
    </row>
    <row r="329" spans="1:19" x14ac:dyDescent="0.2">
      <c r="A329" s="398" t="str">
        <v>Aucun (2e ét. inerte)</v>
      </c>
      <c r="C329" s="629" t="s">
        <v>186</v>
      </c>
      <c r="D329" s="629"/>
      <c r="F329" s="629" t="s">
        <v>186</v>
      </c>
      <c r="G329" s="629"/>
      <c r="I329" s="636" t="s">
        <v>186</v>
      </c>
      <c r="J329" s="636"/>
      <c r="L329" s="636" t="s">
        <v>186</v>
      </c>
      <c r="M329" s="636"/>
      <c r="O329" s="630" t="str">
        <f>A238</f>
        <v>p38-1G 137G58</v>
      </c>
      <c r="P329" s="631"/>
      <c r="R329" s="642" t="str">
        <f>A299</f>
        <v>Aucun (2e ét. inerte)</v>
      </c>
      <c r="S329" s="642"/>
    </row>
    <row r="330" spans="1:19" x14ac:dyDescent="0.2">
      <c r="A330" s="398" t="str">
        <v xml:space="preserve"> </v>
      </c>
      <c r="C330" s="629" t="s">
        <v>186</v>
      </c>
      <c r="D330" s="629"/>
      <c r="F330" s="629" t="s">
        <v>186</v>
      </c>
      <c r="G330" s="629"/>
      <c r="I330" s="636" t="s">
        <v>186</v>
      </c>
      <c r="J330" s="636"/>
      <c r="L330" s="636" t="s">
        <v>186</v>
      </c>
      <c r="M330" s="636"/>
      <c r="O330" s="630" t="str">
        <f>A248</f>
        <v>p38-1G 141G78</v>
      </c>
      <c r="P330" s="631"/>
      <c r="R330" s="636" t="s">
        <v>186</v>
      </c>
      <c r="S330" s="636"/>
    </row>
    <row r="331" spans="1:19" x14ac:dyDescent="0.2">
      <c r="A331" s="398" t="str">
        <v xml:space="preserve"> </v>
      </c>
      <c r="C331" s="629" t="s">
        <v>186</v>
      </c>
      <c r="D331" s="629"/>
      <c r="F331" s="629" t="s">
        <v>186</v>
      </c>
      <c r="G331" s="629"/>
      <c r="I331" s="629" t="s">
        <v>186</v>
      </c>
      <c r="J331" s="629"/>
      <c r="L331" s="636" t="s">
        <v>186</v>
      </c>
      <c r="M331" s="636"/>
      <c r="O331" s="630" t="str">
        <f>A188</f>
        <v>p24-6G 140G145 PK</v>
      </c>
      <c r="P331" s="631"/>
      <c r="R331" s="629" t="s">
        <v>186</v>
      </c>
      <c r="S331" s="629"/>
    </row>
    <row r="332" spans="1:19" x14ac:dyDescent="0.2">
      <c r="A332" s="398" t="str">
        <v xml:space="preserve"> </v>
      </c>
      <c r="C332" s="629" t="s">
        <v>186</v>
      </c>
      <c r="D332" s="629"/>
      <c r="F332" s="629" t="s">
        <v>186</v>
      </c>
      <c r="G332" s="629"/>
      <c r="I332" s="629" t="s">
        <v>186</v>
      </c>
      <c r="J332" s="629"/>
      <c r="L332" s="636" t="s">
        <v>186</v>
      </c>
      <c r="M332" s="636"/>
      <c r="O332" s="630" t="str">
        <f>A193</f>
        <v>Pandora</v>
      </c>
      <c r="P332" s="631"/>
      <c r="R332" s="629" t="s">
        <v>186</v>
      </c>
      <c r="S332" s="629"/>
    </row>
    <row r="333" spans="1:19" x14ac:dyDescent="0.2">
      <c r="A333" s="398" t="str">
        <v xml:space="preserve"> </v>
      </c>
      <c r="C333" s="629" t="s">
        <v>186</v>
      </c>
      <c r="D333" s="629"/>
      <c r="F333" s="629" t="s">
        <v>186</v>
      </c>
      <c r="G333" s="629"/>
      <c r="I333" s="629" t="s">
        <v>186</v>
      </c>
      <c r="J333" s="629"/>
      <c r="L333" s="629" t="s">
        <v>186</v>
      </c>
      <c r="M333" s="629"/>
      <c r="O333" s="634" t="str">
        <f>A198</f>
        <v>p24-6G 142G117 WT</v>
      </c>
      <c r="P333" s="635"/>
      <c r="R333" s="629" t="s">
        <v>186</v>
      </c>
      <c r="S333" s="629"/>
    </row>
    <row r="334" spans="1:19" x14ac:dyDescent="0.2">
      <c r="A334" s="398" t="str">
        <v xml:space="preserve"> </v>
      </c>
      <c r="C334" s="629" t="s">
        <v>186</v>
      </c>
      <c r="D334" s="629"/>
      <c r="F334" s="629" t="s">
        <v>186</v>
      </c>
      <c r="G334" s="629"/>
      <c r="I334" s="629" t="s">
        <v>186</v>
      </c>
      <c r="J334" s="629"/>
      <c r="L334" s="629" t="s">
        <v>186</v>
      </c>
      <c r="M334" s="629"/>
      <c r="O334" s="634" t="str">
        <f>A203</f>
        <v>p24-6G 139G107 DT</v>
      </c>
      <c r="P334" s="635"/>
      <c r="R334" s="629" t="s">
        <v>186</v>
      </c>
      <c r="S334" s="629"/>
    </row>
    <row r="335" spans="1:19" x14ac:dyDescent="0.2">
      <c r="A335" s="398" t="str">
        <v xml:space="preserve"> </v>
      </c>
      <c r="C335" s="629" t="s">
        <v>186</v>
      </c>
      <c r="D335" s="629"/>
      <c r="F335" s="629" t="s">
        <v>186</v>
      </c>
      <c r="G335" s="629"/>
      <c r="I335" s="629" t="s">
        <v>186</v>
      </c>
      <c r="J335" s="629"/>
      <c r="L335" s="629" t="s">
        <v>186</v>
      </c>
      <c r="M335" s="629"/>
      <c r="O335" s="634" t="str">
        <f>A258</f>
        <v>Cariacou</v>
      </c>
      <c r="P335" s="635"/>
      <c r="R335" s="629" t="s">
        <v>186</v>
      </c>
      <c r="S335" s="629"/>
    </row>
    <row r="336" spans="1:19" x14ac:dyDescent="0.2">
      <c r="A336" s="474" t="str">
        <v xml:space="preserve"> </v>
      </c>
      <c r="C336" s="629" t="s">
        <v>186</v>
      </c>
      <c r="D336" s="629"/>
      <c r="F336" s="629" t="s">
        <v>186</v>
      </c>
      <c r="G336" s="629"/>
      <c r="I336" s="629" t="s">
        <v>186</v>
      </c>
      <c r="J336" s="629"/>
      <c r="L336" s="629" t="s">
        <v>186</v>
      </c>
      <c r="M336" s="629"/>
      <c r="O336" s="644" t="str">
        <f>A253</f>
        <v>Wapiti</v>
      </c>
      <c r="P336" s="645"/>
      <c r="R336" s="629" t="s">
        <v>186</v>
      </c>
      <c r="S336" s="629"/>
    </row>
  </sheetData>
  <sheetProtection password="C6AC" sheet="1"/>
  <dataConsolidate/>
  <mergeCells count="186">
    <mergeCell ref="R335:S335"/>
    <mergeCell ref="O335:P335"/>
    <mergeCell ref="O330:P330"/>
    <mergeCell ref="R336:S336"/>
    <mergeCell ref="R332:S332"/>
    <mergeCell ref="F332:G332"/>
    <mergeCell ref="F333:G333"/>
    <mergeCell ref="F334:G334"/>
    <mergeCell ref="F335:G335"/>
    <mergeCell ref="F336:G336"/>
    <mergeCell ref="O336:P336"/>
    <mergeCell ref="L335:M335"/>
    <mergeCell ref="L336:M336"/>
    <mergeCell ref="L334:M334"/>
    <mergeCell ref="I336:J336"/>
    <mergeCell ref="I335:J335"/>
    <mergeCell ref="O334:P334"/>
    <mergeCell ref="R325:S325"/>
    <mergeCell ref="R323:S323"/>
    <mergeCell ref="I327:J327"/>
    <mergeCell ref="I328:J328"/>
    <mergeCell ref="I329:J329"/>
    <mergeCell ref="O331:P331"/>
    <mergeCell ref="L324:M324"/>
    <mergeCell ref="R329:S329"/>
    <mergeCell ref="O333:P333"/>
    <mergeCell ref="R328:S328"/>
    <mergeCell ref="R326:S326"/>
    <mergeCell ref="R327:S327"/>
    <mergeCell ref="R324:S324"/>
    <mergeCell ref="O332:P332"/>
    <mergeCell ref="O325:P325"/>
    <mergeCell ref="R330:S330"/>
    <mergeCell ref="R331:S331"/>
    <mergeCell ref="R333:S333"/>
    <mergeCell ref="R334:S334"/>
    <mergeCell ref="O328:P328"/>
    <mergeCell ref="O326:P326"/>
    <mergeCell ref="L333:M333"/>
    <mergeCell ref="F310:G310"/>
    <mergeCell ref="O313:P313"/>
    <mergeCell ref="O310:P310"/>
    <mergeCell ref="O309:P309"/>
    <mergeCell ref="F315:G315"/>
    <mergeCell ref="F316:G316"/>
    <mergeCell ref="F317:G317"/>
    <mergeCell ref="O315:P315"/>
    <mergeCell ref="O320:P320"/>
    <mergeCell ref="O317:P317"/>
    <mergeCell ref="L318:M318"/>
    <mergeCell ref="R321:S321"/>
    <mergeCell ref="L321:M321"/>
    <mergeCell ref="L322:M322"/>
    <mergeCell ref="L319:M319"/>
    <mergeCell ref="L320:M320"/>
    <mergeCell ref="C312:D312"/>
    <mergeCell ref="C322:D322"/>
    <mergeCell ref="R312:S312"/>
    <mergeCell ref="R318:S318"/>
    <mergeCell ref="R322:S322"/>
    <mergeCell ref="F318:G318"/>
    <mergeCell ref="F312:G312"/>
    <mergeCell ref="O316:P316"/>
    <mergeCell ref="F313:G313"/>
    <mergeCell ref="O321:P321"/>
    <mergeCell ref="O314:P314"/>
    <mergeCell ref="O312:P312"/>
    <mergeCell ref="O322:P322"/>
    <mergeCell ref="F322:G322"/>
    <mergeCell ref="C319:D319"/>
    <mergeCell ref="I318:J318"/>
    <mergeCell ref="C317:D317"/>
    <mergeCell ref="C316:D316"/>
    <mergeCell ref="C315:D315"/>
    <mergeCell ref="R306:S306"/>
    <mergeCell ref="R307:S307"/>
    <mergeCell ref="R308:S308"/>
    <mergeCell ref="R309:S309"/>
    <mergeCell ref="R310:S310"/>
    <mergeCell ref="R317:S317"/>
    <mergeCell ref="L310:M310"/>
    <mergeCell ref="I306:J306"/>
    <mergeCell ref="R320:S320"/>
    <mergeCell ref="R319:S319"/>
    <mergeCell ref="O319:P319"/>
    <mergeCell ref="I309:J309"/>
    <mergeCell ref="O308:P308"/>
    <mergeCell ref="O307:P307"/>
    <mergeCell ref="I310:J310"/>
    <mergeCell ref="L308:M308"/>
    <mergeCell ref="L309:M309"/>
    <mergeCell ref="O306:P306"/>
    <mergeCell ref="I307:J307"/>
    <mergeCell ref="I308:J308"/>
    <mergeCell ref="R316:S316"/>
    <mergeCell ref="C311:D311"/>
    <mergeCell ref="O311:P311"/>
    <mergeCell ref="R311:S311"/>
    <mergeCell ref="R315:S315"/>
    <mergeCell ref="R314:S314"/>
    <mergeCell ref="R313:S313"/>
    <mergeCell ref="I311:J311"/>
    <mergeCell ref="I312:J312"/>
    <mergeCell ref="I313:J313"/>
    <mergeCell ref="C314:D314"/>
    <mergeCell ref="C313:D313"/>
    <mergeCell ref="F314:G314"/>
    <mergeCell ref="F311:G311"/>
    <mergeCell ref="C324:D324"/>
    <mergeCell ref="L328:M328"/>
    <mergeCell ref="F323:G323"/>
    <mergeCell ref="C321:D321"/>
    <mergeCell ref="C320:D320"/>
    <mergeCell ref="C318:D318"/>
    <mergeCell ref="C323:D323"/>
    <mergeCell ref="F328:G328"/>
    <mergeCell ref="L306:M306"/>
    <mergeCell ref="L307:M307"/>
    <mergeCell ref="L316:M316"/>
    <mergeCell ref="L317:M317"/>
    <mergeCell ref="L311:M311"/>
    <mergeCell ref="L312:M312"/>
    <mergeCell ref="C306:D306"/>
    <mergeCell ref="C307:D307"/>
    <mergeCell ref="C308:D308"/>
    <mergeCell ref="C309:D309"/>
    <mergeCell ref="C310:D310"/>
    <mergeCell ref="F306:G306"/>
    <mergeCell ref="F309:G309"/>
    <mergeCell ref="F308:G308"/>
    <mergeCell ref="F307:G307"/>
    <mergeCell ref="F319:G319"/>
    <mergeCell ref="I332:J332"/>
    <mergeCell ref="I333:J333"/>
    <mergeCell ref="L331:M331"/>
    <mergeCell ref="L332:M332"/>
    <mergeCell ref="O318:P318"/>
    <mergeCell ref="O327:P327"/>
    <mergeCell ref="F324:G324"/>
    <mergeCell ref="F325:G325"/>
    <mergeCell ref="F326:G326"/>
    <mergeCell ref="F327:G327"/>
    <mergeCell ref="O323:P323"/>
    <mergeCell ref="I326:J326"/>
    <mergeCell ref="L323:M323"/>
    <mergeCell ref="O324:P324"/>
    <mergeCell ref="I319:J319"/>
    <mergeCell ref="I320:J320"/>
    <mergeCell ref="I321:J321"/>
    <mergeCell ref="F320:G320"/>
    <mergeCell ref="F321:G321"/>
    <mergeCell ref="O329:P329"/>
    <mergeCell ref="I324:J324"/>
    <mergeCell ref="I325:J325"/>
    <mergeCell ref="I330:J330"/>
    <mergeCell ref="L327:M327"/>
    <mergeCell ref="I331:J331"/>
    <mergeCell ref="F329:G329"/>
    <mergeCell ref="F330:G330"/>
    <mergeCell ref="L329:M329"/>
    <mergeCell ref="L330:M330"/>
    <mergeCell ref="F331:G331"/>
    <mergeCell ref="C335:D335"/>
    <mergeCell ref="C336:D336"/>
    <mergeCell ref="C325:D325"/>
    <mergeCell ref="C326:D326"/>
    <mergeCell ref="C327:D327"/>
    <mergeCell ref="C328:D328"/>
    <mergeCell ref="C329:D329"/>
    <mergeCell ref="C330:D330"/>
    <mergeCell ref="L313:M313"/>
    <mergeCell ref="L314:M314"/>
    <mergeCell ref="L315:M315"/>
    <mergeCell ref="I322:J322"/>
    <mergeCell ref="I314:J314"/>
    <mergeCell ref="I315:J315"/>
    <mergeCell ref="I316:J316"/>
    <mergeCell ref="I317:J317"/>
    <mergeCell ref="C334:D334"/>
    <mergeCell ref="C331:D331"/>
    <mergeCell ref="C332:D332"/>
    <mergeCell ref="C333:D333"/>
    <mergeCell ref="L325:M325"/>
    <mergeCell ref="L326:M326"/>
    <mergeCell ref="I334:J334"/>
    <mergeCell ref="I323:J323"/>
  </mergeCells>
  <phoneticPr fontId="8" type="noConversion"/>
  <pageMargins left="0.39370078740157483" right="0.39370078740157483" top="0.39370078740157483" bottom="0.39370078740157483" header="0" footer="0"/>
  <pageSetup scale="44" firstPageNumber="0" fitToHeight="3" orientation="landscape" horizontalDpi="300" verticalDpi="300"/>
  <headerFooter alignWithMargins="0"/>
  <ignoredErrors>
    <ignoredError sqref="R307:S308 C307:D314 F307:G311 O312:P329 O332:P332 R324:S329 O330:O331 O307:P309 O310:P311 P331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1134-95F0-2D4D-BFC4-ECED88733CEF}">
  <sheetPr codeName="Feuil4">
    <pageSetUpPr fitToPage="1"/>
  </sheetPr>
  <dimension ref="A1:IN1075"/>
  <sheetViews>
    <sheetView showGridLines="0" workbookViewId="0">
      <pane xSplit="3" ySplit="7" topLeftCell="D500" activePane="bottomRight" state="frozen"/>
      <selection pane="topRight" activeCell="D1" sqref="D1"/>
      <selection pane="bottomLeft" activeCell="A8" sqref="A8"/>
      <selection pane="bottomRight" activeCell="I511" sqref="I511"/>
    </sheetView>
  </sheetViews>
  <sheetFormatPr baseColWidth="10" defaultColWidth="11.5703125" defaultRowHeight="12.75" x14ac:dyDescent="0.2"/>
  <cols>
    <col min="1" max="1" width="4.5703125" style="7" bestFit="1" customWidth="1"/>
    <col min="2" max="2" width="6" style="7" bestFit="1" customWidth="1"/>
    <col min="3" max="3" width="1.42578125" style="8" customWidth="1"/>
    <col min="4" max="4" width="7.140625" style="7" customWidth="1"/>
    <col min="5" max="6" width="7.42578125" style="7" customWidth="1"/>
    <col min="7" max="7" width="7.140625" style="7" customWidth="1"/>
    <col min="8" max="8" width="7.42578125" style="7" customWidth="1"/>
    <col min="9" max="9" width="7.140625" style="7" customWidth="1"/>
    <col min="10" max="12" width="7.5703125" style="7" bestFit="1" customWidth="1"/>
    <col min="13" max="13" width="5.5703125" style="7" customWidth="1"/>
    <col min="14" max="14" width="6.42578125" style="7" customWidth="1"/>
    <col min="15" max="15" width="1.42578125" style="8" customWidth="1"/>
    <col min="16" max="16" width="4" style="7" customWidth="1"/>
    <col min="17" max="17" width="8.5703125" style="7" customWidth="1"/>
    <col min="18" max="18" width="5.5703125" style="7" customWidth="1"/>
    <col min="19" max="19" width="5.42578125" style="7" customWidth="1"/>
    <col min="20" max="20" width="6" style="7" customWidth="1"/>
    <col min="21" max="21" width="8.5703125" style="7" customWidth="1"/>
    <col min="22" max="22" width="6.5703125" style="7" customWidth="1"/>
    <col min="23" max="23" width="7.140625" style="7" customWidth="1"/>
    <col min="24" max="24" width="1.42578125" style="8" customWidth="1"/>
    <col min="25" max="25" width="15.5703125" style="7" customWidth="1"/>
    <col min="26" max="26" width="5.5703125" style="7" customWidth="1"/>
    <col min="27" max="27" width="7.5703125" style="7" customWidth="1"/>
    <col min="28" max="28" width="1.5703125" style="7" customWidth="1"/>
    <col min="29" max="29" width="7.42578125" style="7" bestFit="1" customWidth="1"/>
    <col min="30" max="31" width="6.5703125" style="7" bestFit="1" customWidth="1"/>
    <col min="32" max="32" width="1.85546875" style="7" customWidth="1"/>
    <col min="33" max="238" width="11.42578125" style="7" customWidth="1"/>
    <col min="239" max="239" width="11" style="7" customWidth="1"/>
  </cols>
  <sheetData>
    <row r="1" spans="1:248" ht="13.5" thickBot="1" x14ac:dyDescent="0.25">
      <c r="D1" s="646" t="s">
        <v>268</v>
      </c>
      <c r="E1" s="647"/>
      <c r="F1" s="647"/>
      <c r="G1" s="647"/>
      <c r="H1" s="647"/>
      <c r="I1" s="647"/>
      <c r="J1" s="647"/>
      <c r="K1" s="647"/>
      <c r="L1" s="647"/>
      <c r="M1" s="647"/>
      <c r="N1" s="648"/>
      <c r="P1" s="646" t="s">
        <v>17</v>
      </c>
      <c r="Q1" s="647"/>
      <c r="R1" s="647"/>
      <c r="S1" s="647"/>
      <c r="T1" s="647"/>
      <c r="U1" s="647"/>
      <c r="V1" s="647"/>
      <c r="W1" s="648"/>
      <c r="Y1" s="9"/>
      <c r="Z1" s="9"/>
      <c r="AA1" s="9"/>
      <c r="AC1" s="653" t="s">
        <v>188</v>
      </c>
      <c r="AD1" s="653"/>
      <c r="AE1" s="653"/>
      <c r="AG1" s="649" t="s">
        <v>18</v>
      </c>
      <c r="AH1" s="649"/>
    </row>
    <row r="2" spans="1:248" s="12" customFormat="1" x14ac:dyDescent="0.2">
      <c r="A2" s="330" t="s">
        <v>19</v>
      </c>
      <c r="B2" s="331" t="s">
        <v>2</v>
      </c>
      <c r="C2" s="10"/>
      <c r="D2" s="334" t="s">
        <v>195</v>
      </c>
      <c r="E2" s="335" t="s">
        <v>196</v>
      </c>
      <c r="F2" s="331" t="s">
        <v>197</v>
      </c>
      <c r="G2" s="334" t="s">
        <v>192</v>
      </c>
      <c r="H2" s="335" t="s">
        <v>193</v>
      </c>
      <c r="I2" s="331" t="s">
        <v>194</v>
      </c>
      <c r="J2" s="334" t="s">
        <v>189</v>
      </c>
      <c r="K2" s="335" t="s">
        <v>190</v>
      </c>
      <c r="L2" s="331" t="s">
        <v>191</v>
      </c>
      <c r="M2" s="330" t="s">
        <v>20</v>
      </c>
      <c r="N2" s="331" t="s">
        <v>21</v>
      </c>
      <c r="O2" s="10"/>
      <c r="P2" s="330" t="s">
        <v>26</v>
      </c>
      <c r="Q2" s="331" t="s">
        <v>25</v>
      </c>
      <c r="R2" s="330" t="s">
        <v>22</v>
      </c>
      <c r="S2" s="335" t="s">
        <v>39</v>
      </c>
      <c r="T2" s="331" t="s">
        <v>27</v>
      </c>
      <c r="U2" s="338" t="s">
        <v>28</v>
      </c>
      <c r="V2" s="330" t="s">
        <v>24</v>
      </c>
      <c r="W2" s="331" t="s">
        <v>23</v>
      </c>
      <c r="X2" s="11"/>
      <c r="Y2" s="650" t="s">
        <v>187</v>
      </c>
      <c r="Z2" s="651"/>
      <c r="AA2" s="652"/>
      <c r="AC2" s="330" t="s">
        <v>11</v>
      </c>
      <c r="AD2" s="335" t="s">
        <v>3</v>
      </c>
      <c r="AE2" s="331" t="s">
        <v>29</v>
      </c>
      <c r="AG2" s="345" t="s">
        <v>31</v>
      </c>
      <c r="AH2" s="346" t="s">
        <v>30</v>
      </c>
      <c r="IF2"/>
      <c r="IG2"/>
      <c r="IH2"/>
      <c r="II2"/>
      <c r="IJ2"/>
      <c r="IK2"/>
      <c r="IL2"/>
      <c r="IM2"/>
      <c r="IN2"/>
    </row>
    <row r="3" spans="1:248" s="12" customFormat="1" x14ac:dyDescent="0.2">
      <c r="A3" s="332" t="s">
        <v>156</v>
      </c>
      <c r="B3" s="333" t="s">
        <v>156</v>
      </c>
      <c r="C3" s="10"/>
      <c r="D3" s="336" t="s">
        <v>7</v>
      </c>
      <c r="E3" s="337" t="s">
        <v>7</v>
      </c>
      <c r="F3" s="333" t="s">
        <v>7</v>
      </c>
      <c r="G3" s="336" t="s">
        <v>157</v>
      </c>
      <c r="H3" s="337" t="s">
        <v>157</v>
      </c>
      <c r="I3" s="333" t="s">
        <v>157</v>
      </c>
      <c r="J3" s="336" t="s">
        <v>39</v>
      </c>
      <c r="K3" s="337" t="s">
        <v>39</v>
      </c>
      <c r="L3" s="333" t="s">
        <v>39</v>
      </c>
      <c r="M3" s="332" t="s">
        <v>246</v>
      </c>
      <c r="N3" s="333" t="s">
        <v>158</v>
      </c>
      <c r="O3" s="10"/>
      <c r="P3" s="336" t="s">
        <v>14</v>
      </c>
      <c r="Q3" s="339" t="s">
        <v>229</v>
      </c>
      <c r="R3" s="336" t="s">
        <v>247</v>
      </c>
      <c r="S3" s="340" t="s">
        <v>230</v>
      </c>
      <c r="T3" s="339" t="s">
        <v>229</v>
      </c>
      <c r="U3" s="341" t="s">
        <v>229</v>
      </c>
      <c r="V3" s="336" t="s">
        <v>8</v>
      </c>
      <c r="W3" s="339" t="s">
        <v>229</v>
      </c>
      <c r="X3" s="11"/>
      <c r="Y3" s="342"/>
      <c r="Z3" s="343"/>
      <c r="AA3" s="344"/>
      <c r="AC3" s="336" t="s">
        <v>156</v>
      </c>
      <c r="AD3" s="340" t="s">
        <v>39</v>
      </c>
      <c r="AE3" s="339" t="s">
        <v>39</v>
      </c>
      <c r="AG3" s="342" t="s">
        <v>7</v>
      </c>
      <c r="AH3" s="339" t="s">
        <v>7</v>
      </c>
      <c r="IF3"/>
      <c r="IG3"/>
      <c r="IH3"/>
      <c r="II3"/>
      <c r="IJ3"/>
      <c r="IK3"/>
      <c r="IL3"/>
      <c r="IM3"/>
      <c r="IN3"/>
    </row>
    <row r="4" spans="1:248" x14ac:dyDescent="0.2">
      <c r="A4" s="292" t="s">
        <v>14</v>
      </c>
      <c r="B4" s="349">
        <f>T_ini</f>
        <v>0</v>
      </c>
      <c r="D4" s="292" t="s">
        <v>14</v>
      </c>
      <c r="E4" s="293" t="s">
        <v>14</v>
      </c>
      <c r="F4" s="294" t="s">
        <v>14</v>
      </c>
      <c r="G4" s="292">
        <f>vit_xz*COS(Beta)</f>
        <v>0</v>
      </c>
      <c r="H4" s="293">
        <f>vit_xz*SIN(Beta)</f>
        <v>0</v>
      </c>
      <c r="I4" s="349">
        <f>V_ini</f>
        <v>0</v>
      </c>
      <c r="J4" s="350">
        <f>X_ini</f>
        <v>0</v>
      </c>
      <c r="K4" s="351">
        <f>Z_ini</f>
        <v>0</v>
      </c>
      <c r="L4" s="327">
        <f t="shared" ref="L4:L67" si="0">SQRT(pos_x^2+pos_z^2)</f>
        <v>0</v>
      </c>
      <c r="M4" s="292">
        <f>RADIANS(N4)</f>
        <v>1.4835298641951802</v>
      </c>
      <c r="N4" s="349">
        <f>Beta_rampe</f>
        <v>85</v>
      </c>
      <c r="P4" s="292" t="s">
        <v>14</v>
      </c>
      <c r="Q4" s="294" t="s">
        <v>14</v>
      </c>
      <c r="R4" s="292" t="s">
        <v>14</v>
      </c>
      <c r="S4" s="351">
        <f ca="1">m_tot</f>
        <v>7.1850000000000005</v>
      </c>
      <c r="T4" s="327">
        <f t="shared" ref="T4:T67" ca="1" si="1">m*g</f>
        <v>70.484850000000009</v>
      </c>
      <c r="U4" s="328">
        <f t="shared" ref="U4:U67" ca="1" si="2">IF(pos_xz&lt;L_rampe,Poids*COS(Beta),0)</f>
        <v>6.1431594542072725</v>
      </c>
      <c r="V4" s="329">
        <f t="shared" ref="V4:V67" si="3">Rho_moyen*(20000-Alt_rampe-pos_z)/(20000+Alt_rampe+pos_z)</f>
        <v>1.2250000000000001</v>
      </c>
      <c r="W4" s="327">
        <f t="shared" ref="W4:W67" si="4">1/2*Rho*Sref*Cx*vit_xz^2</f>
        <v>0</v>
      </c>
      <c r="Y4" s="295" t="s">
        <v>14</v>
      </c>
      <c r="Z4" s="296" t="s">
        <v>14</v>
      </c>
      <c r="AA4" s="297" t="s">
        <v>14</v>
      </c>
      <c r="AC4" s="320">
        <f>IF(ABS(t-ROUND(t,0))&lt;0.001,t,-1)</f>
        <v>0</v>
      </c>
      <c r="AD4" s="321">
        <f>IF(ABS(t-ROUND(t,0))&lt;0.001,pos_x,-1)</f>
        <v>0</v>
      </c>
      <c r="AE4" s="322">
        <f t="shared" ref="AE4:AE67" si="5">IF(t&lt;T_para, pos_z, NA())</f>
        <v>0</v>
      </c>
      <c r="AG4" s="292" t="s">
        <v>14</v>
      </c>
      <c r="AH4" s="294" t="s">
        <v>14</v>
      </c>
    </row>
    <row r="5" spans="1:248" x14ac:dyDescent="0.2">
      <c r="A5" s="347">
        <f t="shared" ref="A5:A68" ca="1" si="6">IF(B4+0.01&lt;=T_ini+ROUNDUP(Temps_fin_propu,0), 0.01, IF(K4&gt;0, 0.1, 0.0001))</f>
        <v>0.01</v>
      </c>
      <c r="B5" s="304">
        <f t="shared" ref="B5:B68" ca="1" si="7">B4+pas</f>
        <v>0.01</v>
      </c>
      <c r="D5" s="306">
        <f t="shared" ref="D5:D68" ca="1" si="8">IF(AND(L4&lt;L_rampe,Poussee&lt;Poids*SIN(M4)),0,(-W4+Poussee)/m*COS(M4)-U4/m*SIN(M4))</f>
        <v>0.23150016667101836</v>
      </c>
      <c r="E5" s="307">
        <f t="shared" ref="E5:E68" ca="1" si="9">IF(AND(L4&lt;L_rampe,Poussee&lt;Poids*SIN(M4)),0,(-W4+Poussee)/m*SIN(M4)+U4/m*COS(M4)-Poids/m)</f>
        <v>2.6466709373933757</v>
      </c>
      <c r="F5" s="304">
        <f t="shared" ref="F5:F68" ca="1" si="10">SQRT(acc_x^2+acc_z^2)</f>
        <v>2.6567761249325166</v>
      </c>
      <c r="G5" s="306">
        <f t="shared" ref="G5:G68" ca="1" si="11">G4+acc_x*pas</f>
        <v>2.3150016667101837E-3</v>
      </c>
      <c r="H5" s="307">
        <f t="shared" ref="H5:H68" ca="1" si="12">H4+acc_z*pas</f>
        <v>2.6466709373933757E-2</v>
      </c>
      <c r="I5" s="304">
        <f t="shared" ref="I5:I68" ca="1" si="13">SQRT(vit_x^2+vit_z^2)</f>
        <v>2.6567761249325167E-2</v>
      </c>
      <c r="J5" s="306">
        <f t="shared" ref="J5:J68" ca="1" si="14">J4+0.5*(vit_x+G4)*pas*(K4&gt;=0)</f>
        <v>1.1575008333550919E-5</v>
      </c>
      <c r="K5" s="307">
        <f t="shared" ref="K5:K68" ca="1" si="15">K4+0.5*(vit_z+H4)*pas</f>
        <v>1.3233354686966879E-4</v>
      </c>
      <c r="L5" s="304">
        <f t="shared" ca="1" si="0"/>
        <v>1.3283880624662584E-4</v>
      </c>
      <c r="M5" s="306">
        <f t="shared" ref="M5:M68" ca="1" si="16">IF(AND(L4&gt;L_rampe,G5&gt;0),ATAN2(G5,H5),$M$4)</f>
        <v>1.4835298641951802</v>
      </c>
      <c r="N5" s="304">
        <f t="shared" ref="N5:N68" ca="1" si="17">DEGREES(Beta)</f>
        <v>85</v>
      </c>
      <c r="P5" s="310">
        <f t="shared" ref="P5:P68" ca="1" si="18">MATCH(t-pas/2-T_ini,CdP_t)</f>
        <v>1</v>
      </c>
      <c r="Q5" s="304">
        <f t="shared" ref="Q5:Q68" ca="1" si="19">(INDEX(CdP,2,i_P+1)-INDEX(CdP,2,i_P+0))/(INDEX(CdP,1,i_P+1)-INDEX(CdP,1,i_P+0))*(t-pas/2-T_ini-INDEX(CdP,1,i_P+0))+INDEX(CdP,2,i_P+0)</f>
        <v>89.3</v>
      </c>
      <c r="R5" s="306">
        <f t="shared" ref="R5:R68" ca="1" si="20">Poussee/(g*ISP)</f>
        <v>4.4815509359347437E-2</v>
      </c>
      <c r="S5" s="307">
        <f t="shared" ref="S5:S68" ca="1" si="21">S4-Débit*pas</f>
        <v>7.184551844906407</v>
      </c>
      <c r="T5" s="304">
        <f t="shared" ca="1" si="1"/>
        <v>70.480453598531852</v>
      </c>
      <c r="U5" s="311">
        <f t="shared" ca="1" si="2"/>
        <v>6.1427762825718988</v>
      </c>
      <c r="V5" s="306">
        <f t="shared" ca="1" si="3"/>
        <v>1.224999983789141</v>
      </c>
      <c r="W5" s="304">
        <f t="shared" ca="1" si="4"/>
        <v>2.0185783764667367E-6</v>
      </c>
      <c r="Y5" s="314" t="str">
        <f t="shared" ref="Y5:Y68" ca="1" si="22">IF(AND(pos_z&lt;=0,K4&gt;0),"Impact balistique","") &amp; IF(AND(H6&lt;0,vit_z&gt;=0),"Apogée","") &amp; IF(AND(Poussee=0,Q4&gt;0),"Fin de propulsion","") &amp; IF(AND(L6&gt;L_rampe,pos_xz&lt;=L_rampe),"Sortie de rampe","")</f>
        <v/>
      </c>
      <c r="Z5" s="315" t="str">
        <f t="shared" ref="Z5:Z68" ca="1" si="23">IF(ABS(t-T_para)&lt;pas/2,"Para","")</f>
        <v/>
      </c>
      <c r="AA5" s="316" t="str">
        <f t="shared" ref="AA5:AA68" ca="1" si="24">IF(ABS(t-T_satellite)&lt;pas/2,"Satellite","")</f>
        <v/>
      </c>
      <c r="AC5" s="310" t="e">
        <f t="shared" ref="AC5:AC68" ca="1" si="25">IF(ABS(t-ROUND(t,0))&lt;0.001,t,NA())</f>
        <v>#N/A</v>
      </c>
      <c r="AD5" s="323" t="e">
        <f t="shared" ref="AD5:AD68" ca="1" si="26">IF(ABS(t-ROUND(t,0))&lt;0.001,pos_x,NA())</f>
        <v>#N/A</v>
      </c>
      <c r="AE5" s="324">
        <f t="shared" ca="1" si="5"/>
        <v>1.3233354686966879E-4</v>
      </c>
      <c r="AG5" s="306">
        <f t="shared" ref="AG5:AG68" ca="1" si="27">IF(AND(L4&lt;L_rampe,Poussee&lt;Poids*SIN(M4)),0,(-W4+Poussee)/m-Poids*SIN(M4)/m)</f>
        <v>2.6567761243972114</v>
      </c>
      <c r="AH5" s="304">
        <f t="shared" ref="AH5:AH68" ca="1" si="28">IF(AND(L4&lt;L_rampe,Poussee&lt;Poids*SIN(M4)), g*SIN(M4), (-W4+Poussee)/m)</f>
        <v>12.429446112677235</v>
      </c>
    </row>
    <row r="6" spans="1:248" x14ac:dyDescent="0.2">
      <c r="A6" s="347">
        <f t="shared" ca="1" si="6"/>
        <v>0.01</v>
      </c>
      <c r="B6" s="304">
        <f t="shared" ca="1" si="7"/>
        <v>0.02</v>
      </c>
      <c r="D6" s="306">
        <f t="shared" ca="1" si="8"/>
        <v>2.3985973439629467</v>
      </c>
      <c r="E6" s="307">
        <f t="shared" ca="1" si="9"/>
        <v>27.417929211095519</v>
      </c>
      <c r="F6" s="304">
        <f t="shared" ca="1" si="10"/>
        <v>27.522647246279039</v>
      </c>
      <c r="G6" s="306">
        <f t="shared" ca="1" si="11"/>
        <v>2.630097510633965E-2</v>
      </c>
      <c r="H6" s="307">
        <f t="shared" ca="1" si="12"/>
        <v>0.30064600148488896</v>
      </c>
      <c r="I6" s="304">
        <f t="shared" ca="1" si="13"/>
        <v>0.30179423370965214</v>
      </c>
      <c r="J6" s="306">
        <f t="shared" ca="1" si="14"/>
        <v>1.5465489219880008E-4</v>
      </c>
      <c r="K6" s="307">
        <f t="shared" ca="1" si="15"/>
        <v>1.7678971011637825E-3</v>
      </c>
      <c r="L6" s="304">
        <f t="shared" ca="1" si="0"/>
        <v>1.7746487810224106E-3</v>
      </c>
      <c r="M6" s="306">
        <f t="shared" ca="1" si="16"/>
        <v>1.4835298641951802</v>
      </c>
      <c r="N6" s="304">
        <f t="shared" ca="1" si="17"/>
        <v>85</v>
      </c>
      <c r="P6" s="310">
        <f t="shared" ca="1" si="18"/>
        <v>1</v>
      </c>
      <c r="Q6" s="304">
        <f t="shared" ca="1" si="19"/>
        <v>267.89999999999998</v>
      </c>
      <c r="R6" s="306">
        <f t="shared" ca="1" si="20"/>
        <v>0.1344465280780423</v>
      </c>
      <c r="S6" s="307">
        <f t="shared" ca="1" si="21"/>
        <v>7.1832073796256264</v>
      </c>
      <c r="T6" s="304">
        <f t="shared" ca="1" si="1"/>
        <v>70.467264394127398</v>
      </c>
      <c r="U6" s="311">
        <f t="shared" ca="1" si="2"/>
        <v>6.1416267676657776</v>
      </c>
      <c r="V6" s="306">
        <f t="shared" ca="1" si="3"/>
        <v>1.2249997834326243</v>
      </c>
      <c r="W6" s="304">
        <f t="shared" ca="1" si="4"/>
        <v>2.6046987472071534E-4</v>
      </c>
      <c r="Y6" s="314" t="str">
        <f t="shared" ca="1" si="22"/>
        <v/>
      </c>
      <c r="Z6" s="315" t="str">
        <f t="shared" ca="1" si="23"/>
        <v/>
      </c>
      <c r="AA6" s="316" t="str">
        <f t="shared" ca="1" si="24"/>
        <v/>
      </c>
      <c r="AC6" s="310" t="e">
        <f t="shared" ca="1" si="25"/>
        <v>#N/A</v>
      </c>
      <c r="AD6" s="323" t="e">
        <f t="shared" ca="1" si="26"/>
        <v>#N/A</v>
      </c>
      <c r="AE6" s="324">
        <f t="shared" ca="1" si="5"/>
        <v>1.7678971011637825E-3</v>
      </c>
      <c r="AG6" s="306">
        <f t="shared" ca="1" si="27"/>
        <v>27.522647245813808</v>
      </c>
      <c r="AH6" s="304">
        <f t="shared" ca="1" si="28"/>
        <v>37.295317234093829</v>
      </c>
    </row>
    <row r="7" spans="1:248" x14ac:dyDescent="0.2">
      <c r="A7" s="347">
        <f t="shared" ca="1" si="6"/>
        <v>0.01</v>
      </c>
      <c r="B7" s="304">
        <f t="shared" ca="1" si="7"/>
        <v>0.03</v>
      </c>
      <c r="D7" s="306">
        <f t="shared" ca="1" si="8"/>
        <v>4.5671790748599488</v>
      </c>
      <c r="E7" s="307">
        <f t="shared" ca="1" si="9"/>
        <v>52.206156850531634</v>
      </c>
      <c r="F7" s="304">
        <f t="shared" ca="1" si="10"/>
        <v>52.405552547455784</v>
      </c>
      <c r="G7" s="306">
        <f t="shared" ca="1" si="11"/>
        <v>7.1972765854939141E-2</v>
      </c>
      <c r="H7" s="307">
        <f t="shared" ca="1" si="12"/>
        <v>0.82270756999020533</v>
      </c>
      <c r="I7" s="304">
        <f t="shared" ca="1" si="13"/>
        <v>0.82584975918383519</v>
      </c>
      <c r="J7" s="306">
        <f t="shared" ca="1" si="14"/>
        <v>6.4602359700519411E-4</v>
      </c>
      <c r="K7" s="307">
        <f t="shared" ca="1" si="15"/>
        <v>7.3846649585392532E-3</v>
      </c>
      <c r="L7" s="304">
        <f t="shared" ca="1" si="0"/>
        <v>7.4128687454834297E-3</v>
      </c>
      <c r="M7" s="306">
        <f t="shared" ca="1" si="16"/>
        <v>1.4835298641951802</v>
      </c>
      <c r="N7" s="304">
        <f t="shared" ca="1" si="17"/>
        <v>85</v>
      </c>
      <c r="P7" s="310">
        <f t="shared" ca="1" si="18"/>
        <v>1</v>
      </c>
      <c r="Q7" s="304">
        <f t="shared" ca="1" si="19"/>
        <v>446.49999999999994</v>
      </c>
      <c r="R7" s="306">
        <f t="shared" ca="1" si="20"/>
        <v>0.22407754679673716</v>
      </c>
      <c r="S7" s="307">
        <f t="shared" ca="1" si="21"/>
        <v>7.1809666041576588</v>
      </c>
      <c r="T7" s="304">
        <f t="shared" ca="1" si="1"/>
        <v>70.44528238678663</v>
      </c>
      <c r="U7" s="311">
        <f t="shared" ca="1" si="2"/>
        <v>6.1397109094889082</v>
      </c>
      <c r="V7" s="306">
        <f t="shared" ca="1" si="3"/>
        <v>1.2249990953788767</v>
      </c>
      <c r="W7" s="304">
        <f t="shared" ca="1" si="4"/>
        <v>1.9504619166871692E-3</v>
      </c>
      <c r="Y7" s="314" t="str">
        <f t="shared" ca="1" si="22"/>
        <v/>
      </c>
      <c r="Z7" s="315" t="str">
        <f t="shared" ca="1" si="23"/>
        <v/>
      </c>
      <c r="AA7" s="316" t="str">
        <f t="shared" ca="1" si="24"/>
        <v/>
      </c>
      <c r="AC7" s="310" t="e">
        <f t="shared" ca="1" si="25"/>
        <v>#N/A</v>
      </c>
      <c r="AD7" s="323" t="e">
        <f t="shared" ca="1" si="26"/>
        <v>#N/A</v>
      </c>
      <c r="AE7" s="324">
        <f t="shared" ca="1" si="5"/>
        <v>7.3846649585392532E-3</v>
      </c>
      <c r="AG7" s="306">
        <f t="shared" ca="1" si="27"/>
        <v>52.405552546776661</v>
      </c>
      <c r="AH7" s="304">
        <f t="shared" ca="1" si="28"/>
        <v>62.178222535056683</v>
      </c>
    </row>
    <row r="8" spans="1:248" x14ac:dyDescent="0.2">
      <c r="A8" s="347">
        <f t="shared" ca="1" si="6"/>
        <v>0.01</v>
      </c>
      <c r="B8" s="304">
        <f t="shared" ca="1" si="7"/>
        <v>0.04</v>
      </c>
      <c r="D8" s="306">
        <f t="shared" ca="1" si="8"/>
        <v>6.7380448667782451</v>
      </c>
      <c r="E8" s="307">
        <f t="shared" ca="1" si="9"/>
        <v>77.020492726989517</v>
      </c>
      <c r="F8" s="304">
        <f t="shared" ca="1" si="10"/>
        <v>77.31466580497495</v>
      </c>
      <c r="G8" s="306">
        <f t="shared" ca="1" si="11"/>
        <v>0.13935321452272159</v>
      </c>
      <c r="H8" s="307">
        <f t="shared" ca="1" si="12"/>
        <v>1.5929124972601005</v>
      </c>
      <c r="I8" s="304">
        <f t="shared" ca="1" si="13"/>
        <v>1.5989964172333926</v>
      </c>
      <c r="J8" s="306">
        <f t="shared" ca="1" si="14"/>
        <v>1.7026534988934978E-3</v>
      </c>
      <c r="K8" s="307">
        <f t="shared" ca="1" si="15"/>
        <v>1.9462765294790782E-2</v>
      </c>
      <c r="L8" s="304">
        <f t="shared" ca="1" si="0"/>
        <v>1.9537099627565162E-2</v>
      </c>
      <c r="M8" s="306">
        <f t="shared" ca="1" si="16"/>
        <v>1.4835298641951802</v>
      </c>
      <c r="N8" s="304">
        <f t="shared" ca="1" si="17"/>
        <v>85</v>
      </c>
      <c r="P8" s="310">
        <f t="shared" ca="1" si="18"/>
        <v>1</v>
      </c>
      <c r="Q8" s="304">
        <f t="shared" ca="1" si="19"/>
        <v>625.1</v>
      </c>
      <c r="R8" s="306">
        <f t="shared" ca="1" si="20"/>
        <v>0.31370856551543208</v>
      </c>
      <c r="S8" s="307">
        <f t="shared" ca="1" si="21"/>
        <v>7.1778295185025041</v>
      </c>
      <c r="T8" s="304">
        <f t="shared" ca="1" si="1"/>
        <v>70.414507576509564</v>
      </c>
      <c r="U8" s="311">
        <f t="shared" ca="1" si="2"/>
        <v>6.1370287080412922</v>
      </c>
      <c r="V8" s="306">
        <f t="shared" ca="1" si="3"/>
        <v>1.2249976158135714</v>
      </c>
      <c r="W8" s="304">
        <f t="shared" ca="1" si="4"/>
        <v>7.3118931913255681E-3</v>
      </c>
      <c r="Y8" s="314" t="str">
        <f t="shared" ca="1" si="22"/>
        <v/>
      </c>
      <c r="Z8" s="315" t="str">
        <f t="shared" ca="1" si="23"/>
        <v/>
      </c>
      <c r="AA8" s="316" t="str">
        <f t="shared" ca="1" si="24"/>
        <v/>
      </c>
      <c r="AC8" s="310" t="e">
        <f t="shared" ca="1" si="25"/>
        <v>#N/A</v>
      </c>
      <c r="AD8" s="323" t="e">
        <f t="shared" ca="1" si="26"/>
        <v>#N/A</v>
      </c>
      <c r="AE8" s="324">
        <f t="shared" ca="1" si="5"/>
        <v>1.9462765294790782E-2</v>
      </c>
      <c r="AG8" s="306">
        <f t="shared" ca="1" si="27"/>
        <v>77.314665804071907</v>
      </c>
      <c r="AH8" s="304">
        <f t="shared" ca="1" si="28"/>
        <v>87.087335792351936</v>
      </c>
    </row>
    <row r="9" spans="1:248" x14ac:dyDescent="0.2">
      <c r="A9" s="347">
        <f t="shared" ca="1" si="6"/>
        <v>0.01</v>
      </c>
      <c r="B9" s="304">
        <f t="shared" ca="1" si="7"/>
        <v>0.05</v>
      </c>
      <c r="D9" s="306">
        <f t="shared" ca="1" si="8"/>
        <v>8.9119842017640121</v>
      </c>
      <c r="E9" s="307">
        <f t="shared" ca="1" si="9"/>
        <v>101.86996112291686</v>
      </c>
      <c r="F9" s="304">
        <f t="shared" ca="1" si="10"/>
        <v>102.25904576905207</v>
      </c>
      <c r="G9" s="306">
        <f t="shared" ca="1" si="11"/>
        <v>0.22847305654036171</v>
      </c>
      <c r="H9" s="307">
        <f t="shared" ca="1" si="12"/>
        <v>2.6116121084892692</v>
      </c>
      <c r="I9" s="304">
        <f t="shared" ca="1" si="13"/>
        <v>2.6215868749237856</v>
      </c>
      <c r="J9" s="306">
        <f t="shared" ca="1" si="14"/>
        <v>3.5417848542089146E-3</v>
      </c>
      <c r="K9" s="307">
        <f t="shared" ca="1" si="15"/>
        <v>4.0485388323537631E-2</v>
      </c>
      <c r="L9" s="304">
        <f t="shared" ca="1" si="0"/>
        <v>4.0640016088347469E-2</v>
      </c>
      <c r="M9" s="306">
        <f t="shared" ca="1" si="16"/>
        <v>1.4835298641951802</v>
      </c>
      <c r="N9" s="304">
        <f t="shared" ca="1" si="17"/>
        <v>85</v>
      </c>
      <c r="P9" s="310">
        <f t="shared" ca="1" si="18"/>
        <v>1</v>
      </c>
      <c r="Q9" s="304">
        <f t="shared" ca="1" si="19"/>
        <v>803.7</v>
      </c>
      <c r="R9" s="306">
        <f t="shared" ca="1" si="20"/>
        <v>0.40333958423412697</v>
      </c>
      <c r="S9" s="307">
        <f t="shared" ca="1" si="21"/>
        <v>7.1737961226601632</v>
      </c>
      <c r="T9" s="304">
        <f t="shared" ca="1" si="1"/>
        <v>70.3749399632962</v>
      </c>
      <c r="U9" s="311">
        <f t="shared" ca="1" si="2"/>
        <v>6.1335801633229297</v>
      </c>
      <c r="V9" s="306">
        <f t="shared" ca="1" si="3"/>
        <v>1.2249950405499699</v>
      </c>
      <c r="W9" s="304">
        <f t="shared" ca="1" si="4"/>
        <v>1.9654520481021374E-2</v>
      </c>
      <c r="Y9" s="314" t="str">
        <f t="shared" ca="1" si="22"/>
        <v/>
      </c>
      <c r="Z9" s="315" t="str">
        <f t="shared" ca="1" si="23"/>
        <v/>
      </c>
      <c r="AA9" s="316" t="str">
        <f t="shared" ca="1" si="24"/>
        <v/>
      </c>
      <c r="AC9" s="310" t="e">
        <f t="shared" ca="1" si="25"/>
        <v>#N/A</v>
      </c>
      <c r="AD9" s="323" t="e">
        <f t="shared" ca="1" si="26"/>
        <v>#N/A</v>
      </c>
      <c r="AE9" s="324">
        <f t="shared" ca="1" si="5"/>
        <v>4.0485388323537631E-2</v>
      </c>
      <c r="AG9" s="306">
        <f t="shared" ca="1" si="27"/>
        <v>102.25904576792216</v>
      </c>
      <c r="AH9" s="304">
        <f t="shared" ca="1" si="28"/>
        <v>112.03171575620219</v>
      </c>
    </row>
    <row r="10" spans="1:248" x14ac:dyDescent="0.2">
      <c r="A10" s="347">
        <f t="shared" ca="1" si="6"/>
        <v>0.01</v>
      </c>
      <c r="B10" s="304">
        <f t="shared" ca="1" si="7"/>
        <v>6.0000000000000005E-2</v>
      </c>
      <c r="D10" s="306">
        <f t="shared" ca="1" si="8"/>
        <v>9.9906446929369093</v>
      </c>
      <c r="E10" s="307">
        <f t="shared" ca="1" si="9"/>
        <v>114.19971637349163</v>
      </c>
      <c r="F10" s="304">
        <f t="shared" ca="1" si="10"/>
        <v>114.63589403483726</v>
      </c>
      <c r="G10" s="306">
        <f t="shared" ca="1" si="11"/>
        <v>0.32837950346973077</v>
      </c>
      <c r="H10" s="307">
        <f t="shared" ca="1" si="12"/>
        <v>3.7536092722241854</v>
      </c>
      <c r="I10" s="304">
        <f t="shared" ca="1" si="13"/>
        <v>3.7679458152720833</v>
      </c>
      <c r="J10" s="306">
        <f t="shared" ca="1" si="14"/>
        <v>6.3260476542593772E-3</v>
      </c>
      <c r="K10" s="307">
        <f t="shared" ca="1" si="15"/>
        <v>7.2311495227104908E-2</v>
      </c>
      <c r="L10" s="304">
        <f t="shared" ca="1" si="0"/>
        <v>7.2587679539323866E-2</v>
      </c>
      <c r="M10" s="306">
        <f t="shared" ca="1" si="16"/>
        <v>1.4835298641951802</v>
      </c>
      <c r="N10" s="304">
        <f t="shared" ca="1" si="17"/>
        <v>85</v>
      </c>
      <c r="P10" s="310">
        <f t="shared" ca="1" si="18"/>
        <v>2</v>
      </c>
      <c r="Q10" s="304">
        <f t="shared" ca="1" si="19"/>
        <v>891.94444444444446</v>
      </c>
      <c r="R10" s="306">
        <f t="shared" ca="1" si="20"/>
        <v>0.44762535944029064</v>
      </c>
      <c r="S10" s="307">
        <f t="shared" ca="1" si="21"/>
        <v>7.1693198690657605</v>
      </c>
      <c r="T10" s="304">
        <f t="shared" ca="1" si="1"/>
        <v>70.331027915535117</v>
      </c>
      <c r="U10" s="311">
        <f t="shared" ca="1" si="2"/>
        <v>6.1297529761847418</v>
      </c>
      <c r="V10" s="306">
        <f t="shared" ca="1" si="3"/>
        <v>1.2249911418738619</v>
      </c>
      <c r="W10" s="304">
        <f t="shared" ca="1" si="4"/>
        <v>4.0601479554368249E-2</v>
      </c>
      <c r="Y10" s="314" t="str">
        <f t="shared" ca="1" si="22"/>
        <v/>
      </c>
      <c r="Z10" s="315" t="str">
        <f t="shared" ca="1" si="23"/>
        <v/>
      </c>
      <c r="AA10" s="316" t="str">
        <f t="shared" ca="1" si="24"/>
        <v/>
      </c>
      <c r="AC10" s="310" t="e">
        <f t="shared" ca="1" si="25"/>
        <v>#N/A</v>
      </c>
      <c r="AD10" s="323" t="e">
        <f t="shared" ca="1" si="26"/>
        <v>#N/A</v>
      </c>
      <c r="AE10" s="324">
        <f t="shared" ca="1" si="5"/>
        <v>7.2311495227104908E-2</v>
      </c>
      <c r="AG10" s="306">
        <f t="shared" ca="1" si="27"/>
        <v>114.63589403359431</v>
      </c>
      <c r="AH10" s="304">
        <f t="shared" ca="1" si="28"/>
        <v>124.40856402187434</v>
      </c>
    </row>
    <row r="11" spans="1:248" x14ac:dyDescent="0.2">
      <c r="A11" s="347">
        <f t="shared" ca="1" si="6"/>
        <v>0.01</v>
      </c>
      <c r="B11" s="304">
        <f t="shared" ca="1" si="7"/>
        <v>7.0000000000000007E-2</v>
      </c>
      <c r="D11" s="306">
        <f t="shared" ca="1" si="8"/>
        <v>9.9714686335755598</v>
      </c>
      <c r="E11" s="307">
        <f t="shared" ca="1" si="9"/>
        <v>113.9805223235084</v>
      </c>
      <c r="F11" s="304">
        <f t="shared" ca="1" si="10"/>
        <v>114.41586278069215</v>
      </c>
      <c r="G11" s="306">
        <f t="shared" ca="1" si="11"/>
        <v>0.42809418980548636</v>
      </c>
      <c r="H11" s="307">
        <f t="shared" ca="1" si="12"/>
        <v>4.8934144954592691</v>
      </c>
      <c r="I11" s="304">
        <f t="shared" ca="1" si="13"/>
        <v>4.9121044430789649</v>
      </c>
      <c r="J11" s="306">
        <f t="shared" ca="1" si="14"/>
        <v>1.0108416120635464E-2</v>
      </c>
      <c r="K11" s="307">
        <f t="shared" ca="1" si="15"/>
        <v>0.11554661406552218</v>
      </c>
      <c r="L11" s="304">
        <f t="shared" ca="1" si="0"/>
        <v>0.11598793083107678</v>
      </c>
      <c r="M11" s="306">
        <f t="shared" ca="1" si="16"/>
        <v>1.4835298641951802</v>
      </c>
      <c r="N11" s="304">
        <f t="shared" ca="1" si="17"/>
        <v>85</v>
      </c>
      <c r="P11" s="310">
        <f t="shared" ca="1" si="18"/>
        <v>2</v>
      </c>
      <c r="Q11" s="304">
        <f t="shared" ca="1" si="19"/>
        <v>889.83333333333337</v>
      </c>
      <c r="R11" s="306">
        <f t="shared" ca="1" si="20"/>
        <v>0.44656589113392309</v>
      </c>
      <c r="S11" s="307">
        <f t="shared" ca="1" si="21"/>
        <v>7.164854210154421</v>
      </c>
      <c r="T11" s="304">
        <f t="shared" ca="1" si="1"/>
        <v>70.287219801614867</v>
      </c>
      <c r="U11" s="311">
        <f t="shared" ca="1" si="2"/>
        <v>6.125934847477648</v>
      </c>
      <c r="V11" s="306">
        <f t="shared" ca="1" si="3"/>
        <v>1.2249858456215514</v>
      </c>
      <c r="W11" s="304">
        <f t="shared" ca="1" si="4"/>
        <v>6.9002665813462941E-2</v>
      </c>
      <c r="Y11" s="314" t="str">
        <f t="shared" ca="1" si="22"/>
        <v/>
      </c>
      <c r="Z11" s="315" t="str">
        <f t="shared" ca="1" si="23"/>
        <v/>
      </c>
      <c r="AA11" s="316" t="str">
        <f t="shared" ca="1" si="24"/>
        <v/>
      </c>
      <c r="AC11" s="310" t="e">
        <f t="shared" ca="1" si="25"/>
        <v>#N/A</v>
      </c>
      <c r="AD11" s="323" t="e">
        <f t="shared" ca="1" si="26"/>
        <v>#N/A</v>
      </c>
      <c r="AE11" s="324">
        <f t="shared" ca="1" si="5"/>
        <v>0.11554661406552218</v>
      </c>
      <c r="AG11" s="306">
        <f t="shared" ca="1" si="27"/>
        <v>114.41586277945116</v>
      </c>
      <c r="AH11" s="304">
        <f t="shared" ca="1" si="28"/>
        <v>124.18853276773119</v>
      </c>
    </row>
    <row r="12" spans="1:248" x14ac:dyDescent="0.2">
      <c r="A12" s="347">
        <f t="shared" ca="1" si="6"/>
        <v>0.01</v>
      </c>
      <c r="B12" s="304">
        <f t="shared" ca="1" si="7"/>
        <v>0.08</v>
      </c>
      <c r="D12" s="306">
        <f t="shared" ca="1" si="8"/>
        <v>9.9521619374277215</v>
      </c>
      <c r="E12" s="307">
        <f t="shared" ca="1" si="9"/>
        <v>113.75983506585992</v>
      </c>
      <c r="F12" s="304">
        <f t="shared" ca="1" si="10"/>
        <v>114.19433261524162</v>
      </c>
      <c r="G12" s="306">
        <f t="shared" ca="1" si="11"/>
        <v>0.52761580917976358</v>
      </c>
      <c r="H12" s="307">
        <f t="shared" ca="1" si="12"/>
        <v>6.0310128461178678</v>
      </c>
      <c r="I12" s="304">
        <f t="shared" ca="1" si="13"/>
        <v>6.0540477692313566</v>
      </c>
      <c r="J12" s="306">
        <f t="shared" ca="1" si="14"/>
        <v>1.4886966115561714E-2</v>
      </c>
      <c r="K12" s="307">
        <f t="shared" ca="1" si="15"/>
        <v>0.17016875077340787</v>
      </c>
      <c r="L12" s="304">
        <f t="shared" ca="1" si="0"/>
        <v>0.17081869189262658</v>
      </c>
      <c r="M12" s="306">
        <f t="shared" ca="1" si="16"/>
        <v>1.4835298641951802</v>
      </c>
      <c r="N12" s="304">
        <f t="shared" ca="1" si="17"/>
        <v>85</v>
      </c>
      <c r="P12" s="310">
        <f t="shared" ca="1" si="18"/>
        <v>2</v>
      </c>
      <c r="Q12" s="304">
        <f t="shared" ca="1" si="19"/>
        <v>887.72222222222217</v>
      </c>
      <c r="R12" s="306">
        <f t="shared" ca="1" si="20"/>
        <v>0.44550642282755548</v>
      </c>
      <c r="S12" s="307">
        <f t="shared" ca="1" si="21"/>
        <v>7.1603991459261458</v>
      </c>
      <c r="T12" s="304">
        <f t="shared" ca="1" si="1"/>
        <v>70.243515621535494</v>
      </c>
      <c r="U12" s="311">
        <f t="shared" ca="1" si="2"/>
        <v>6.1221257772016529</v>
      </c>
      <c r="V12" s="306">
        <f t="shared" ca="1" si="3"/>
        <v>1.2249791545053927</v>
      </c>
      <c r="W12" s="304">
        <f t="shared" ca="1" si="4"/>
        <v>0.10481416991695756</v>
      </c>
      <c r="Y12" s="314" t="str">
        <f t="shared" ca="1" si="22"/>
        <v/>
      </c>
      <c r="Z12" s="315" t="str">
        <f t="shared" ca="1" si="23"/>
        <v/>
      </c>
      <c r="AA12" s="316" t="str">
        <f t="shared" ca="1" si="24"/>
        <v/>
      </c>
      <c r="AC12" s="310" t="e">
        <f t="shared" ca="1" si="25"/>
        <v>#N/A</v>
      </c>
      <c r="AD12" s="323" t="e">
        <f t="shared" ca="1" si="26"/>
        <v>#N/A</v>
      </c>
      <c r="AE12" s="324">
        <f t="shared" ca="1" si="5"/>
        <v>0.17016875077340787</v>
      </c>
      <c r="AG12" s="306">
        <f t="shared" ca="1" si="27"/>
        <v>114.19433261400258</v>
      </c>
      <c r="AH12" s="304">
        <f t="shared" ca="1" si="28"/>
        <v>123.96700260228261</v>
      </c>
    </row>
    <row r="13" spans="1:248" x14ac:dyDescent="0.2">
      <c r="A13" s="347">
        <f t="shared" ca="1" si="6"/>
        <v>0.01</v>
      </c>
      <c r="B13" s="304">
        <f t="shared" ca="1" si="7"/>
        <v>0.09</v>
      </c>
      <c r="D13" s="306">
        <f t="shared" ca="1" si="8"/>
        <v>9.9327249810483966</v>
      </c>
      <c r="E13" s="307">
        <f t="shared" ca="1" si="9"/>
        <v>113.53765890459529</v>
      </c>
      <c r="F13" s="304">
        <f t="shared" ca="1" si="10"/>
        <v>113.97130785897549</v>
      </c>
      <c r="G13" s="306">
        <f t="shared" ca="1" si="11"/>
        <v>0.6269430589902476</v>
      </c>
      <c r="H13" s="307">
        <f t="shared" ca="1" si="12"/>
        <v>7.1663894351638202</v>
      </c>
      <c r="I13" s="304">
        <f t="shared" ca="1" si="13"/>
        <v>7.1937608478210944</v>
      </c>
      <c r="J13" s="306">
        <f t="shared" ca="1" si="14"/>
        <v>2.0659760456411769E-2</v>
      </c>
      <c r="K13" s="307">
        <f t="shared" ca="1" si="15"/>
        <v>0.23615576217981632</v>
      </c>
      <c r="L13" s="304">
        <f t="shared" ca="1" si="0"/>
        <v>0.23705773497788735</v>
      </c>
      <c r="M13" s="306">
        <f t="shared" ca="1" si="16"/>
        <v>1.4835298641951802</v>
      </c>
      <c r="N13" s="304">
        <f t="shared" ca="1" si="17"/>
        <v>85</v>
      </c>
      <c r="P13" s="310">
        <f t="shared" ca="1" si="18"/>
        <v>2</v>
      </c>
      <c r="Q13" s="304">
        <f t="shared" ca="1" si="19"/>
        <v>885.61111111111109</v>
      </c>
      <c r="R13" s="306">
        <f t="shared" ca="1" si="20"/>
        <v>0.44444695452118799</v>
      </c>
      <c r="S13" s="307">
        <f t="shared" ca="1" si="21"/>
        <v>7.1559546763809339</v>
      </c>
      <c r="T13" s="304">
        <f t="shared" ca="1" si="1"/>
        <v>70.199915375296968</v>
      </c>
      <c r="U13" s="311">
        <f t="shared" ca="1" si="2"/>
        <v>6.1183257653567535</v>
      </c>
      <c r="V13" s="306">
        <f t="shared" ca="1" si="3"/>
        <v>1.2249710712607174</v>
      </c>
      <c r="W13" s="304">
        <f t="shared" ca="1" si="4"/>
        <v>0.14799172704662142</v>
      </c>
      <c r="Y13" s="314" t="str">
        <f t="shared" ca="1" si="22"/>
        <v/>
      </c>
      <c r="Z13" s="315" t="str">
        <f t="shared" ca="1" si="23"/>
        <v/>
      </c>
      <c r="AA13" s="316" t="str">
        <f t="shared" ca="1" si="24"/>
        <v/>
      </c>
      <c r="AC13" s="310" t="e">
        <f t="shared" ca="1" si="25"/>
        <v>#N/A</v>
      </c>
      <c r="AD13" s="323" t="e">
        <f t="shared" ca="1" si="26"/>
        <v>#N/A</v>
      </c>
      <c r="AE13" s="324">
        <f t="shared" ca="1" si="5"/>
        <v>0.23615576217981632</v>
      </c>
      <c r="AG13" s="306">
        <f t="shared" ca="1" si="27"/>
        <v>113.97130785773838</v>
      </c>
      <c r="AH13" s="304">
        <f t="shared" ca="1" si="28"/>
        <v>123.74397784601841</v>
      </c>
    </row>
    <row r="14" spans="1:248" x14ac:dyDescent="0.2">
      <c r="A14" s="347">
        <f t="shared" ca="1" si="6"/>
        <v>0.01</v>
      </c>
      <c r="B14" s="304">
        <f t="shared" ca="1" si="7"/>
        <v>9.9999999999999992E-2</v>
      </c>
      <c r="D14" s="306">
        <f t="shared" ca="1" si="8"/>
        <v>9.9131581474198107</v>
      </c>
      <c r="E14" s="307">
        <f t="shared" ca="1" si="9"/>
        <v>113.31399821722742</v>
      </c>
      <c r="F14" s="304">
        <f t="shared" ca="1" si="10"/>
        <v>113.74679290612801</v>
      </c>
      <c r="G14" s="306">
        <f t="shared" ca="1" si="11"/>
        <v>0.7260746404644457</v>
      </c>
      <c r="H14" s="307">
        <f t="shared" ca="1" si="12"/>
        <v>8.2995294173360943</v>
      </c>
      <c r="I14" s="304">
        <f t="shared" ca="1" si="13"/>
        <v>8.3312287768823623</v>
      </c>
      <c r="J14" s="306">
        <f t="shared" ca="1" si="14"/>
        <v>2.7424848953685237E-2</v>
      </c>
      <c r="K14" s="307">
        <f t="shared" ca="1" si="15"/>
        <v>0.3134853564423159</v>
      </c>
      <c r="L14" s="304">
        <f t="shared" ca="1" si="0"/>
        <v>0.31468268310140346</v>
      </c>
      <c r="M14" s="306">
        <f t="shared" ca="1" si="16"/>
        <v>1.4835298641951802</v>
      </c>
      <c r="N14" s="304">
        <f t="shared" ca="1" si="17"/>
        <v>85</v>
      </c>
      <c r="P14" s="310">
        <f t="shared" ca="1" si="18"/>
        <v>2</v>
      </c>
      <c r="Q14" s="304">
        <f t="shared" ca="1" si="19"/>
        <v>883.5</v>
      </c>
      <c r="R14" s="306">
        <f t="shared" ca="1" si="20"/>
        <v>0.44338748621482044</v>
      </c>
      <c r="S14" s="307">
        <f t="shared" ca="1" si="21"/>
        <v>7.1515208015187852</v>
      </c>
      <c r="T14" s="304">
        <f t="shared" ca="1" si="1"/>
        <v>70.156419062899289</v>
      </c>
      <c r="U14" s="311">
        <f t="shared" ca="1" si="2"/>
        <v>6.1145348119429501</v>
      </c>
      <c r="V14" s="306">
        <f t="shared" ca="1" si="3"/>
        <v>1.2249615986457492</v>
      </c>
      <c r="W14" s="304">
        <f t="shared" ca="1" si="4"/>
        <v>0.19849072093089995</v>
      </c>
      <c r="Y14" s="314" t="str">
        <f t="shared" ca="1" si="22"/>
        <v/>
      </c>
      <c r="Z14" s="315" t="str">
        <f t="shared" ca="1" si="23"/>
        <v/>
      </c>
      <c r="AA14" s="316" t="str">
        <f t="shared" ca="1" si="24"/>
        <v/>
      </c>
      <c r="AC14" s="310" t="e">
        <f t="shared" ca="1" si="25"/>
        <v>#N/A</v>
      </c>
      <c r="AD14" s="323" t="e">
        <f t="shared" ca="1" si="26"/>
        <v>#N/A</v>
      </c>
      <c r="AE14" s="324">
        <f t="shared" ca="1" si="5"/>
        <v>0.3134853564423159</v>
      </c>
      <c r="AG14" s="306">
        <f t="shared" ca="1" si="27"/>
        <v>113.74679290489283</v>
      </c>
      <c r="AH14" s="304">
        <f t="shared" ca="1" si="28"/>
        <v>123.51946289317286</v>
      </c>
    </row>
    <row r="15" spans="1:248" x14ac:dyDescent="0.2">
      <c r="A15" s="347">
        <f t="shared" ca="1" si="6"/>
        <v>0.01</v>
      </c>
      <c r="B15" s="304">
        <f t="shared" ca="1" si="7"/>
        <v>0.10999999999999999</v>
      </c>
      <c r="D15" s="306">
        <f t="shared" ca="1" si="8"/>
        <v>9.8934618259166758</v>
      </c>
      <c r="E15" s="307">
        <f t="shared" ca="1" si="9"/>
        <v>113.08885745433589</v>
      </c>
      <c r="F15" s="304">
        <f t="shared" ca="1" si="10"/>
        <v>113.52079222427922</v>
      </c>
      <c r="G15" s="306">
        <f t="shared" ca="1" si="11"/>
        <v>0.82500925872361242</v>
      </c>
      <c r="H15" s="307">
        <f t="shared" ca="1" si="12"/>
        <v>9.4304179918794535</v>
      </c>
      <c r="I15" s="304">
        <f t="shared" ca="1" si="13"/>
        <v>9.466436699125147</v>
      </c>
      <c r="J15" s="306">
        <f t="shared" ca="1" si="14"/>
        <v>3.5180268449625525E-2</v>
      </c>
      <c r="K15" s="307">
        <f t="shared" ca="1" si="15"/>
        <v>0.40213509348839366</v>
      </c>
      <c r="L15" s="304">
        <f t="shared" ca="1" si="0"/>
        <v>0.40367101048144</v>
      </c>
      <c r="M15" s="306">
        <f t="shared" ca="1" si="16"/>
        <v>1.4835298641951802</v>
      </c>
      <c r="N15" s="304">
        <f t="shared" ca="1" si="17"/>
        <v>85</v>
      </c>
      <c r="P15" s="310">
        <f t="shared" ca="1" si="18"/>
        <v>2</v>
      </c>
      <c r="Q15" s="304">
        <f t="shared" ca="1" si="19"/>
        <v>881.38888888888891</v>
      </c>
      <c r="R15" s="306">
        <f t="shared" ca="1" si="20"/>
        <v>0.44232801790845289</v>
      </c>
      <c r="S15" s="307">
        <f t="shared" ca="1" si="21"/>
        <v>7.1470975213397008</v>
      </c>
      <c r="T15" s="304">
        <f t="shared" ca="1" si="1"/>
        <v>70.113026684342472</v>
      </c>
      <c r="U15" s="311">
        <f t="shared" ca="1" si="2"/>
        <v>6.1107529169602426</v>
      </c>
      <c r="V15" s="306">
        <f t="shared" ca="1" si="3"/>
        <v>1.2249507394415176</v>
      </c>
      <c r="W15" s="304">
        <f t="shared" ca="1" si="4"/>
        <v>0.25626618790656386</v>
      </c>
      <c r="Y15" s="314" t="str">
        <f t="shared" ca="1" si="22"/>
        <v/>
      </c>
      <c r="Z15" s="315" t="str">
        <f t="shared" ca="1" si="23"/>
        <v/>
      </c>
      <c r="AA15" s="316" t="str">
        <f t="shared" ca="1" si="24"/>
        <v/>
      </c>
      <c r="AC15" s="310" t="e">
        <f t="shared" ca="1" si="25"/>
        <v>#N/A</v>
      </c>
      <c r="AD15" s="323" t="e">
        <f t="shared" ca="1" si="26"/>
        <v>#N/A</v>
      </c>
      <c r="AE15" s="324">
        <f t="shared" ca="1" si="5"/>
        <v>0.40213509348839366</v>
      </c>
      <c r="AG15" s="306">
        <f t="shared" ca="1" si="27"/>
        <v>113.52079222304596</v>
      </c>
      <c r="AH15" s="304">
        <f t="shared" ca="1" si="28"/>
        <v>123.29346221132599</v>
      </c>
    </row>
    <row r="16" spans="1:248" x14ac:dyDescent="0.2">
      <c r="A16" s="347">
        <f t="shared" ca="1" si="6"/>
        <v>0.01</v>
      </c>
      <c r="B16" s="304">
        <f t="shared" ca="1" si="7"/>
        <v>0.11999999999999998</v>
      </c>
      <c r="D16" s="306">
        <f t="shared" ca="1" si="8"/>
        <v>9.8736364122707041</v>
      </c>
      <c r="E16" s="307">
        <f t="shared" ca="1" si="9"/>
        <v>112.8622411391613</v>
      </c>
      <c r="F16" s="304">
        <f t="shared" ca="1" si="10"/>
        <v>113.29331035394769</v>
      </c>
      <c r="G16" s="306">
        <f t="shared" ca="1" si="11"/>
        <v>0.92374562284631945</v>
      </c>
      <c r="H16" s="307">
        <f t="shared" ca="1" si="12"/>
        <v>10.559040403271066</v>
      </c>
      <c r="I16" s="304">
        <f t="shared" ca="1" si="13"/>
        <v>10.599369802664615</v>
      </c>
      <c r="J16" s="306">
        <f t="shared" ca="1" si="14"/>
        <v>4.3924042857475185E-2</v>
      </c>
      <c r="K16" s="307">
        <f t="shared" ca="1" si="15"/>
        <v>0.5020823854641463</v>
      </c>
      <c r="L16" s="304">
        <f t="shared" ca="1" si="0"/>
        <v>0.50400004299038803</v>
      </c>
      <c r="M16" s="306">
        <f t="shared" ca="1" si="16"/>
        <v>1.4835298641951802</v>
      </c>
      <c r="N16" s="304">
        <f t="shared" ca="1" si="17"/>
        <v>85</v>
      </c>
      <c r="P16" s="310">
        <f t="shared" ca="1" si="18"/>
        <v>2</v>
      </c>
      <c r="Q16" s="304">
        <f t="shared" ca="1" si="19"/>
        <v>879.27777777777783</v>
      </c>
      <c r="R16" s="306">
        <f t="shared" ca="1" si="20"/>
        <v>0.44126854960208534</v>
      </c>
      <c r="S16" s="307">
        <f t="shared" ca="1" si="21"/>
        <v>7.1426848358436796</v>
      </c>
      <c r="T16" s="304">
        <f t="shared" ca="1" si="1"/>
        <v>70.069738239626503</v>
      </c>
      <c r="U16" s="311">
        <f t="shared" ca="1" si="2"/>
        <v>6.1069800804086318</v>
      </c>
      <c r="V16" s="306">
        <f t="shared" ca="1" si="3"/>
        <v>1.2249384964517731</v>
      </c>
      <c r="W16" s="304">
        <f t="shared" ca="1" si="4"/>
        <v>0.32127282101778576</v>
      </c>
      <c r="Y16" s="314" t="str">
        <f t="shared" ca="1" si="22"/>
        <v/>
      </c>
      <c r="Z16" s="315" t="str">
        <f t="shared" ca="1" si="23"/>
        <v/>
      </c>
      <c r="AA16" s="316" t="str">
        <f t="shared" ca="1" si="24"/>
        <v/>
      </c>
      <c r="AC16" s="310" t="e">
        <f t="shared" ca="1" si="25"/>
        <v>#N/A</v>
      </c>
      <c r="AD16" s="323" t="e">
        <f t="shared" ca="1" si="26"/>
        <v>#N/A</v>
      </c>
      <c r="AE16" s="324">
        <f t="shared" ca="1" si="5"/>
        <v>0.5020823854641463</v>
      </c>
      <c r="AG16" s="306">
        <f t="shared" ca="1" si="27"/>
        <v>113.29331035271635</v>
      </c>
      <c r="AH16" s="304">
        <f t="shared" ca="1" si="28"/>
        <v>123.06598034099638</v>
      </c>
    </row>
    <row r="17" spans="1:34" x14ac:dyDescent="0.2">
      <c r="A17" s="347">
        <f t="shared" ca="1" si="6"/>
        <v>0.01</v>
      </c>
      <c r="B17" s="304">
        <f t="shared" ca="1" si="7"/>
        <v>0.12999999999999998</v>
      </c>
      <c r="D17" s="306">
        <f t="shared" ca="1" si="8"/>
        <v>9.8536823085343652</v>
      </c>
      <c r="E17" s="307">
        <f t="shared" ca="1" si="9"/>
        <v>112.63415386719109</v>
      </c>
      <c r="F17" s="304">
        <f t="shared" ca="1" si="10"/>
        <v>113.06435190817484</v>
      </c>
      <c r="G17" s="306">
        <f t="shared" ca="1" si="11"/>
        <v>1.0222824459316631</v>
      </c>
      <c r="H17" s="307">
        <f t="shared" ca="1" si="12"/>
        <v>11.685381941942977</v>
      </c>
      <c r="I17" s="304">
        <f t="shared" ca="1" si="13"/>
        <v>11.730013321746359</v>
      </c>
      <c r="J17" s="306">
        <f t="shared" ca="1" si="14"/>
        <v>5.3654183201365099E-2</v>
      </c>
      <c r="K17" s="307">
        <f t="shared" ca="1" si="15"/>
        <v>0.61330449719021651</v>
      </c>
      <c r="L17" s="304">
        <f t="shared" ca="1" si="0"/>
        <v>0.61564695861244201</v>
      </c>
      <c r="M17" s="306">
        <f t="shared" ca="1" si="16"/>
        <v>1.4835298641951802</v>
      </c>
      <c r="N17" s="304">
        <f t="shared" ca="1" si="17"/>
        <v>85</v>
      </c>
      <c r="P17" s="310">
        <f t="shared" ca="1" si="18"/>
        <v>2</v>
      </c>
      <c r="Q17" s="304">
        <f t="shared" ca="1" si="19"/>
        <v>877.16666666666663</v>
      </c>
      <c r="R17" s="306">
        <f t="shared" ca="1" si="20"/>
        <v>0.44020908129571773</v>
      </c>
      <c r="S17" s="307">
        <f t="shared" ca="1" si="21"/>
        <v>7.1382827450307227</v>
      </c>
      <c r="T17" s="304">
        <f t="shared" ca="1" si="1"/>
        <v>70.026553728751395</v>
      </c>
      <c r="U17" s="311">
        <f t="shared" ca="1" si="2"/>
        <v>6.103216302288117</v>
      </c>
      <c r="V17" s="306">
        <f t="shared" ca="1" si="3"/>
        <v>1.2249248725028958</v>
      </c>
      <c r="W17" s="304">
        <f t="shared" ca="1" si="4"/>
        <v>0.39346497415197629</v>
      </c>
      <c r="Y17" s="314" t="str">
        <f t="shared" ca="1" si="22"/>
        <v/>
      </c>
      <c r="Z17" s="315" t="str">
        <f t="shared" ca="1" si="23"/>
        <v/>
      </c>
      <c r="AA17" s="316" t="str">
        <f t="shared" ca="1" si="24"/>
        <v/>
      </c>
      <c r="AC17" s="310" t="e">
        <f t="shared" ca="1" si="25"/>
        <v>#N/A</v>
      </c>
      <c r="AD17" s="323" t="e">
        <f t="shared" ca="1" si="26"/>
        <v>#N/A</v>
      </c>
      <c r="AE17" s="324">
        <f t="shared" ca="1" si="5"/>
        <v>0.61330449719021651</v>
      </c>
      <c r="AG17" s="306">
        <f t="shared" ca="1" si="27"/>
        <v>113.0643519069454</v>
      </c>
      <c r="AH17" s="304">
        <f t="shared" ca="1" si="28"/>
        <v>122.83702189522543</v>
      </c>
    </row>
    <row r="18" spans="1:34" x14ac:dyDescent="0.2">
      <c r="A18" s="347">
        <f t="shared" ca="1" si="6"/>
        <v>0.01</v>
      </c>
      <c r="B18" s="304">
        <f t="shared" ca="1" si="7"/>
        <v>0.13999999999999999</v>
      </c>
      <c r="D18" s="306">
        <f t="shared" ca="1" si="8"/>
        <v>9.8335999230439555</v>
      </c>
      <c r="E18" s="307">
        <f t="shared" ca="1" si="9"/>
        <v>112.4046003057373</v>
      </c>
      <c r="F18" s="304">
        <f t="shared" ca="1" si="10"/>
        <v>112.83392157210103</v>
      </c>
      <c r="G18" s="306">
        <f t="shared" ca="1" si="11"/>
        <v>1.1206184451621026</v>
      </c>
      <c r="H18" s="307">
        <f t="shared" ca="1" si="12"/>
        <v>12.809427945000349</v>
      </c>
      <c r="I18" s="304">
        <f t="shared" ca="1" si="13"/>
        <v>12.858352537467365</v>
      </c>
      <c r="J18" s="306">
        <f t="shared" ca="1" si="14"/>
        <v>6.4368687656833928E-2</v>
      </c>
      <c r="K18" s="307">
        <f t="shared" ca="1" si="15"/>
        <v>0.73577854662493314</v>
      </c>
      <c r="L18" s="304">
        <f t="shared" ca="1" si="0"/>
        <v>0.73858878790851001</v>
      </c>
      <c r="M18" s="306">
        <f t="shared" ca="1" si="16"/>
        <v>1.4835298641951802</v>
      </c>
      <c r="N18" s="304">
        <f t="shared" ca="1" si="17"/>
        <v>85</v>
      </c>
      <c r="P18" s="310">
        <f t="shared" ca="1" si="18"/>
        <v>2</v>
      </c>
      <c r="Q18" s="304">
        <f t="shared" ca="1" si="19"/>
        <v>875.05555555555554</v>
      </c>
      <c r="R18" s="306">
        <f t="shared" ca="1" si="20"/>
        <v>0.43914961298935024</v>
      </c>
      <c r="S18" s="307">
        <f t="shared" ca="1" si="21"/>
        <v>7.133891248900829</v>
      </c>
      <c r="T18" s="304">
        <f t="shared" ca="1" si="1"/>
        <v>69.983473151717135</v>
      </c>
      <c r="U18" s="311">
        <f t="shared" ca="1" si="2"/>
        <v>6.0994615825986989</v>
      </c>
      <c r="V18" s="306">
        <f t="shared" ca="1" si="3"/>
        <v>1.2249098704438082</v>
      </c>
      <c r="W18" s="304">
        <f t="shared" ca="1" si="4"/>
        <v>0.47279666621170124</v>
      </c>
      <c r="Y18" s="314" t="str">
        <f t="shared" ca="1" si="22"/>
        <v/>
      </c>
      <c r="Z18" s="315" t="str">
        <f t="shared" ca="1" si="23"/>
        <v/>
      </c>
      <c r="AA18" s="316" t="str">
        <f t="shared" ca="1" si="24"/>
        <v/>
      </c>
      <c r="AC18" s="310" t="e">
        <f t="shared" ca="1" si="25"/>
        <v>#N/A</v>
      </c>
      <c r="AD18" s="323" t="e">
        <f t="shared" ca="1" si="26"/>
        <v>#N/A</v>
      </c>
      <c r="AE18" s="324">
        <f t="shared" ca="1" si="5"/>
        <v>0.73577854662493314</v>
      </c>
      <c r="AG18" s="306">
        <f t="shared" ca="1" si="27"/>
        <v>112.8339215708735</v>
      </c>
      <c r="AH18" s="304">
        <f t="shared" ca="1" si="28"/>
        <v>122.60659155915353</v>
      </c>
    </row>
    <row r="19" spans="1:34" x14ac:dyDescent="0.2">
      <c r="A19" s="347">
        <f t="shared" ca="1" si="6"/>
        <v>0.01</v>
      </c>
      <c r="B19" s="304">
        <f t="shared" ca="1" si="7"/>
        <v>0.15</v>
      </c>
      <c r="D19" s="306">
        <f t="shared" ca="1" si="8"/>
        <v>9.8133896703819001</v>
      </c>
      <c r="E19" s="307">
        <f t="shared" ca="1" si="9"/>
        <v>112.17358519350586</v>
      </c>
      <c r="F19" s="304">
        <f t="shared" ca="1" si="10"/>
        <v>112.60202410253324</v>
      </c>
      <c r="G19" s="306">
        <f t="shared" ca="1" si="11"/>
        <v>1.2187523418659216</v>
      </c>
      <c r="H19" s="307">
        <f t="shared" ca="1" si="12"/>
        <v>13.931163796935408</v>
      </c>
      <c r="I19" s="304">
        <f t="shared" ca="1" si="13"/>
        <v>13.984372778492693</v>
      </c>
      <c r="J19" s="306">
        <f t="shared" ca="1" si="14"/>
        <v>7.6065541591974054E-2</v>
      </c>
      <c r="K19" s="307">
        <f t="shared" ca="1" si="15"/>
        <v>0.86948150533461188</v>
      </c>
      <c r="L19" s="304">
        <f t="shared" ca="1" si="0"/>
        <v>0.87280241448830964</v>
      </c>
      <c r="M19" s="306">
        <f t="shared" ca="1" si="16"/>
        <v>1.4835298641951802</v>
      </c>
      <c r="N19" s="304">
        <f t="shared" ca="1" si="17"/>
        <v>85</v>
      </c>
      <c r="P19" s="310">
        <f t="shared" ca="1" si="18"/>
        <v>2</v>
      </c>
      <c r="Q19" s="304">
        <f t="shared" ca="1" si="19"/>
        <v>872.94444444444446</v>
      </c>
      <c r="R19" s="306">
        <f t="shared" ca="1" si="20"/>
        <v>0.43809014468298269</v>
      </c>
      <c r="S19" s="307">
        <f t="shared" ca="1" si="21"/>
        <v>7.1295103474539996</v>
      </c>
      <c r="T19" s="304">
        <f t="shared" ca="1" si="1"/>
        <v>69.940496508523736</v>
      </c>
      <c r="U19" s="311">
        <f t="shared" ca="1" si="2"/>
        <v>6.0957159213403767</v>
      </c>
      <c r="V19" s="306">
        <f t="shared" ca="1" si="3"/>
        <v>1.2248934931458835</v>
      </c>
      <c r="W19" s="304">
        <f t="shared" ca="1" si="4"/>
        <v>0.55922158532200039</v>
      </c>
      <c r="Y19" s="314" t="str">
        <f t="shared" ca="1" si="22"/>
        <v/>
      </c>
      <c r="Z19" s="315" t="str">
        <f t="shared" ca="1" si="23"/>
        <v/>
      </c>
      <c r="AA19" s="316" t="str">
        <f t="shared" ca="1" si="24"/>
        <v/>
      </c>
      <c r="AC19" s="310" t="e">
        <f t="shared" ca="1" si="25"/>
        <v>#N/A</v>
      </c>
      <c r="AD19" s="323" t="e">
        <f t="shared" ca="1" si="26"/>
        <v>#N/A</v>
      </c>
      <c r="AE19" s="324">
        <f t="shared" ca="1" si="5"/>
        <v>0.86948150533461188</v>
      </c>
      <c r="AG19" s="306">
        <f t="shared" ca="1" si="27"/>
        <v>112.60202410130759</v>
      </c>
      <c r="AH19" s="304">
        <f t="shared" ca="1" si="28"/>
        <v>122.37469408958762</v>
      </c>
    </row>
    <row r="20" spans="1:34" x14ac:dyDescent="0.2">
      <c r="A20" s="347">
        <f t="shared" ca="1" si="6"/>
        <v>0.01</v>
      </c>
      <c r="B20" s="304">
        <f t="shared" ca="1" si="7"/>
        <v>0.16</v>
      </c>
      <c r="D20" s="306">
        <f t="shared" ca="1" si="8"/>
        <v>9.7930519713383983</v>
      </c>
      <c r="E20" s="307">
        <f t="shared" ca="1" si="9"/>
        <v>111.9411133401581</v>
      </c>
      <c r="F20" s="304">
        <f t="shared" ca="1" si="10"/>
        <v>112.36866432750483</v>
      </c>
      <c r="G20" s="306">
        <f t="shared" ca="1" si="11"/>
        <v>1.3166828615793056</v>
      </c>
      <c r="H20" s="307">
        <f t="shared" ca="1" si="12"/>
        <v>15.050574930336989</v>
      </c>
      <c r="I20" s="304">
        <f t="shared" ca="1" si="13"/>
        <v>15.108059421767738</v>
      </c>
      <c r="J20" s="306">
        <f t="shared" ca="1" si="14"/>
        <v>8.8742717609200189E-2</v>
      </c>
      <c r="K20" s="307">
        <f t="shared" ca="1" si="15"/>
        <v>1.0143901989709738</v>
      </c>
      <c r="L20" s="304">
        <f t="shared" ca="1" si="0"/>
        <v>1.0182645754896111</v>
      </c>
      <c r="M20" s="306">
        <f t="shared" ca="1" si="16"/>
        <v>1.4835298641951802</v>
      </c>
      <c r="N20" s="304">
        <f t="shared" ca="1" si="17"/>
        <v>85</v>
      </c>
      <c r="P20" s="310">
        <f t="shared" ca="1" si="18"/>
        <v>2</v>
      </c>
      <c r="Q20" s="304">
        <f t="shared" ca="1" si="19"/>
        <v>870.83333333333337</v>
      </c>
      <c r="R20" s="306">
        <f t="shared" ca="1" si="20"/>
        <v>0.43703067637661513</v>
      </c>
      <c r="S20" s="307">
        <f t="shared" ca="1" si="21"/>
        <v>7.1251400406902334</v>
      </c>
      <c r="T20" s="304">
        <f t="shared" ca="1" si="1"/>
        <v>69.8976237991712</v>
      </c>
      <c r="U20" s="311">
        <f t="shared" ca="1" si="2"/>
        <v>6.0919793185131521</v>
      </c>
      <c r="V20" s="306">
        <f t="shared" ca="1" si="3"/>
        <v>1.2248757435028546</v>
      </c>
      <c r="W20" s="304">
        <f t="shared" ca="1" si="4"/>
        <v>0.65269309307241641</v>
      </c>
      <c r="Y20" s="314" t="str">
        <f t="shared" ca="1" si="22"/>
        <v/>
      </c>
      <c r="Z20" s="315" t="str">
        <f t="shared" ca="1" si="23"/>
        <v/>
      </c>
      <c r="AA20" s="316" t="str">
        <f t="shared" ca="1" si="24"/>
        <v/>
      </c>
      <c r="AC20" s="310" t="e">
        <f t="shared" ca="1" si="25"/>
        <v>#N/A</v>
      </c>
      <c r="AD20" s="323" t="e">
        <f t="shared" ca="1" si="26"/>
        <v>#N/A</v>
      </c>
      <c r="AE20" s="324">
        <f t="shared" ca="1" si="5"/>
        <v>1.0143901989709738</v>
      </c>
      <c r="AG20" s="306">
        <f t="shared" ca="1" si="27"/>
        <v>112.36866432628108</v>
      </c>
      <c r="AH20" s="304">
        <f t="shared" ca="1" si="28"/>
        <v>122.14133431456111</v>
      </c>
    </row>
    <row r="21" spans="1:34" x14ac:dyDescent="0.2">
      <c r="A21" s="347">
        <f t="shared" ca="1" si="6"/>
        <v>0.01</v>
      </c>
      <c r="B21" s="304">
        <f t="shared" ca="1" si="7"/>
        <v>0.17</v>
      </c>
      <c r="D21" s="306">
        <f t="shared" ca="1" si="8"/>
        <v>9.772587252872329</v>
      </c>
      <c r="E21" s="307">
        <f t="shared" ca="1" si="9"/>
        <v>111.70718962586385</v>
      </c>
      <c r="F21" s="304">
        <f t="shared" ca="1" si="10"/>
        <v>112.13384714582705</v>
      </c>
      <c r="G21" s="306">
        <f t="shared" ca="1" si="11"/>
        <v>1.4144087341080289</v>
      </c>
      <c r="H21" s="307">
        <f t="shared" ca="1" si="12"/>
        <v>16.167646826595629</v>
      </c>
      <c r="I21" s="304">
        <f t="shared" ca="1" si="13"/>
        <v>16.229397893226007</v>
      </c>
      <c r="J21" s="306">
        <f t="shared" ca="1" si="14"/>
        <v>0.10239817558763686</v>
      </c>
      <c r="K21" s="307">
        <f t="shared" ca="1" si="15"/>
        <v>1.1704813077556369</v>
      </c>
      <c r="L21" s="304">
        <f t="shared" ca="1" si="0"/>
        <v>1.1749518620645794</v>
      </c>
      <c r="M21" s="306">
        <f t="shared" ca="1" si="16"/>
        <v>1.4835298641951802</v>
      </c>
      <c r="N21" s="304">
        <f t="shared" ca="1" si="17"/>
        <v>85</v>
      </c>
      <c r="P21" s="310">
        <f t="shared" ca="1" si="18"/>
        <v>2</v>
      </c>
      <c r="Q21" s="304">
        <f t="shared" ca="1" si="19"/>
        <v>868.72222222222217</v>
      </c>
      <c r="R21" s="306">
        <f t="shared" ca="1" si="20"/>
        <v>0.43597120807024753</v>
      </c>
      <c r="S21" s="307">
        <f t="shared" ca="1" si="21"/>
        <v>7.1207803286095306</v>
      </c>
      <c r="T21" s="304">
        <f t="shared" ca="1" si="1"/>
        <v>69.854855023659496</v>
      </c>
      <c r="U21" s="311">
        <f t="shared" ca="1" si="2"/>
        <v>6.0882517741170217</v>
      </c>
      <c r="V21" s="306">
        <f t="shared" ca="1" si="3"/>
        <v>1.2248566244307211</v>
      </c>
      <c r="W21" s="304">
        <f t="shared" ca="1" si="4"/>
        <v>0.75316422879304057</v>
      </c>
      <c r="Y21" s="314" t="str">
        <f t="shared" ca="1" si="22"/>
        <v/>
      </c>
      <c r="Z21" s="315" t="str">
        <f t="shared" ca="1" si="23"/>
        <v/>
      </c>
      <c r="AA21" s="316" t="str">
        <f t="shared" ca="1" si="24"/>
        <v/>
      </c>
      <c r="AC21" s="310" t="e">
        <f t="shared" ca="1" si="25"/>
        <v>#N/A</v>
      </c>
      <c r="AD21" s="323" t="e">
        <f t="shared" ca="1" si="26"/>
        <v>#N/A</v>
      </c>
      <c r="AE21" s="324">
        <f t="shared" ca="1" si="5"/>
        <v>1.1704813077556369</v>
      </c>
      <c r="AG21" s="306">
        <f t="shared" ca="1" si="27"/>
        <v>112.13384714460518</v>
      </c>
      <c r="AH21" s="304">
        <f t="shared" ca="1" si="28"/>
        <v>121.90651713288521</v>
      </c>
    </row>
    <row r="22" spans="1:34" x14ac:dyDescent="0.2">
      <c r="A22" s="347">
        <f t="shared" ca="1" si="6"/>
        <v>0.01</v>
      </c>
      <c r="B22" s="304">
        <f t="shared" ca="1" si="7"/>
        <v>0.18000000000000002</v>
      </c>
      <c r="D22" s="306">
        <f t="shared" ca="1" si="8"/>
        <v>9.7519959480714693</v>
      </c>
      <c r="E22" s="307">
        <f t="shared" ca="1" si="9"/>
        <v>111.47181900084676</v>
      </c>
      <c r="F22" s="304">
        <f t="shared" ca="1" si="10"/>
        <v>111.89757752663256</v>
      </c>
      <c r="G22" s="306">
        <f t="shared" ca="1" si="11"/>
        <v>1.5119286935887437</v>
      </c>
      <c r="H22" s="307">
        <f t="shared" ca="1" si="12"/>
        <v>17.282365016604096</v>
      </c>
      <c r="I22" s="304">
        <f t="shared" ca="1" si="13"/>
        <v>17.348373668492332</v>
      </c>
      <c r="J22" s="306">
        <f t="shared" ca="1" si="14"/>
        <v>0.11702986272612073</v>
      </c>
      <c r="K22" s="307">
        <f t="shared" ca="1" si="15"/>
        <v>1.3377313669716355</v>
      </c>
      <c r="L22" s="304">
        <f t="shared" ca="1" si="0"/>
        <v>1.3428407198731707</v>
      </c>
      <c r="M22" s="306">
        <f t="shared" ca="1" si="16"/>
        <v>1.4835298641951802</v>
      </c>
      <c r="N22" s="304">
        <f t="shared" ca="1" si="17"/>
        <v>85</v>
      </c>
      <c r="P22" s="310">
        <f t="shared" ca="1" si="18"/>
        <v>2</v>
      </c>
      <c r="Q22" s="304">
        <f t="shared" ca="1" si="19"/>
        <v>866.61111111111109</v>
      </c>
      <c r="R22" s="306">
        <f t="shared" ca="1" si="20"/>
        <v>0.43491173976387998</v>
      </c>
      <c r="S22" s="307">
        <f t="shared" ca="1" si="21"/>
        <v>7.1164312112118919</v>
      </c>
      <c r="T22" s="304">
        <f t="shared" ca="1" si="1"/>
        <v>69.812190181988669</v>
      </c>
      <c r="U22" s="311">
        <f t="shared" ca="1" si="2"/>
        <v>6.0845332881519898</v>
      </c>
      <c r="V22" s="306">
        <f t="shared" ca="1" si="3"/>
        <v>1.2248361388676552</v>
      </c>
      <c r="W22" s="304">
        <f t="shared" ca="1" si="4"/>
        <v>0.86058771386387156</v>
      </c>
      <c r="Y22" s="314" t="str">
        <f t="shared" ca="1" si="22"/>
        <v/>
      </c>
      <c r="Z22" s="315" t="str">
        <f t="shared" ca="1" si="23"/>
        <v/>
      </c>
      <c r="AA22" s="316" t="str">
        <f t="shared" ca="1" si="24"/>
        <v/>
      </c>
      <c r="AC22" s="310" t="e">
        <f t="shared" ca="1" si="25"/>
        <v>#N/A</v>
      </c>
      <c r="AD22" s="323" t="e">
        <f t="shared" ca="1" si="26"/>
        <v>#N/A</v>
      </c>
      <c r="AE22" s="324">
        <f t="shared" ca="1" si="5"/>
        <v>1.3377313669716355</v>
      </c>
      <c r="AG22" s="306">
        <f t="shared" ca="1" si="27"/>
        <v>111.89757752541256</v>
      </c>
      <c r="AH22" s="304">
        <f t="shared" ca="1" si="28"/>
        <v>121.67024751369259</v>
      </c>
    </row>
    <row r="23" spans="1:34" x14ac:dyDescent="0.2">
      <c r="A23" s="347">
        <f t="shared" ca="1" si="6"/>
        <v>0.01</v>
      </c>
      <c r="B23" s="304">
        <f t="shared" ca="1" si="7"/>
        <v>0.19000000000000003</v>
      </c>
      <c r="D23" s="306">
        <f t="shared" ca="1" si="8"/>
        <v>9.7312784961120116</v>
      </c>
      <c r="E23" s="307">
        <f t="shared" ca="1" si="9"/>
        <v>111.23500648492167</v>
      </c>
      <c r="F23" s="304">
        <f t="shared" ca="1" si="10"/>
        <v>111.65986050891098</v>
      </c>
      <c r="G23" s="306">
        <f t="shared" ca="1" si="11"/>
        <v>1.6092414785498639</v>
      </c>
      <c r="H23" s="307">
        <f t="shared" ca="1" si="12"/>
        <v>18.394715081453313</v>
      </c>
      <c r="I23" s="304">
        <f t="shared" ca="1" si="13"/>
        <v>18.464972273581441</v>
      </c>
      <c r="J23" s="306">
        <f t="shared" ca="1" si="14"/>
        <v>0.13263571358681378</v>
      </c>
      <c r="K23" s="307">
        <f t="shared" ca="1" si="15"/>
        <v>1.5161167674619227</v>
      </c>
      <c r="L23" s="304">
        <f t="shared" ca="1" si="0"/>
        <v>1.5219074495835394</v>
      </c>
      <c r="M23" s="306">
        <f t="shared" ca="1" si="16"/>
        <v>1.4835298641951802</v>
      </c>
      <c r="N23" s="304">
        <f t="shared" ca="1" si="17"/>
        <v>85</v>
      </c>
      <c r="P23" s="310">
        <f t="shared" ca="1" si="18"/>
        <v>2</v>
      </c>
      <c r="Q23" s="304">
        <f t="shared" ca="1" si="19"/>
        <v>864.5</v>
      </c>
      <c r="R23" s="306">
        <f t="shared" ca="1" si="20"/>
        <v>0.43385227145751248</v>
      </c>
      <c r="S23" s="307">
        <f t="shared" ca="1" si="21"/>
        <v>7.1120926884973166</v>
      </c>
      <c r="T23" s="304">
        <f t="shared" ca="1" si="1"/>
        <v>69.769629274158675</v>
      </c>
      <c r="U23" s="311">
        <f t="shared" ca="1" si="2"/>
        <v>6.080823860618052</v>
      </c>
      <c r="V23" s="306">
        <f t="shared" ca="1" si="3"/>
        <v>1.2248142897739052</v>
      </c>
      <c r="W23" s="304">
        <f t="shared" ca="1" si="4"/>
        <v>0.97491595605678083</v>
      </c>
      <c r="Y23" s="314" t="str">
        <f t="shared" ca="1" si="22"/>
        <v/>
      </c>
      <c r="Z23" s="315" t="str">
        <f t="shared" ca="1" si="23"/>
        <v/>
      </c>
      <c r="AA23" s="316" t="str">
        <f t="shared" ca="1" si="24"/>
        <v/>
      </c>
      <c r="AC23" s="310" t="e">
        <f t="shared" ca="1" si="25"/>
        <v>#N/A</v>
      </c>
      <c r="AD23" s="323" t="e">
        <f t="shared" ca="1" si="26"/>
        <v>#N/A</v>
      </c>
      <c r="AE23" s="324">
        <f t="shared" ca="1" si="5"/>
        <v>1.5161167674619227</v>
      </c>
      <c r="AG23" s="306">
        <f t="shared" ca="1" si="27"/>
        <v>111.65986050769285</v>
      </c>
      <c r="AH23" s="304">
        <f t="shared" ca="1" si="28"/>
        <v>121.43253049597288</v>
      </c>
    </row>
    <row r="24" spans="1:34" x14ac:dyDescent="0.2">
      <c r="A24" s="347">
        <f t="shared" ca="1" si="6"/>
        <v>0.01</v>
      </c>
      <c r="B24" s="304">
        <f t="shared" ca="1" si="7"/>
        <v>0.20000000000000004</v>
      </c>
      <c r="D24" s="306">
        <f t="shared" ca="1" si="8"/>
        <v>9.7104353422174068</v>
      </c>
      <c r="E24" s="307">
        <f t="shared" ca="1" si="9"/>
        <v>110.99675716702409</v>
      </c>
      <c r="F24" s="304">
        <f t="shared" ca="1" si="10"/>
        <v>111.42070120103668</v>
      </c>
      <c r="G24" s="306">
        <f t="shared" ca="1" si="11"/>
        <v>1.7063458319720379</v>
      </c>
      <c r="H24" s="307">
        <f t="shared" ca="1" si="12"/>
        <v>19.504682653123552</v>
      </c>
      <c r="I24" s="304">
        <f t="shared" ca="1" si="13"/>
        <v>19.579179285591803</v>
      </c>
      <c r="J24" s="306">
        <f t="shared" ca="1" si="14"/>
        <v>0.14921365013942328</v>
      </c>
      <c r="K24" s="307">
        <f t="shared" ca="1" si="15"/>
        <v>1.705613756134807</v>
      </c>
      <c r="L24" s="304">
        <f t="shared" ca="1" si="0"/>
        <v>1.7121282073794051</v>
      </c>
      <c r="M24" s="306">
        <f t="shared" ca="1" si="16"/>
        <v>1.4835298641951802</v>
      </c>
      <c r="N24" s="304">
        <f t="shared" ca="1" si="17"/>
        <v>85</v>
      </c>
      <c r="P24" s="310">
        <f t="shared" ca="1" si="18"/>
        <v>2</v>
      </c>
      <c r="Q24" s="304">
        <f t="shared" ca="1" si="19"/>
        <v>862.38888888888891</v>
      </c>
      <c r="R24" s="306">
        <f t="shared" ca="1" si="20"/>
        <v>0.43279280315114493</v>
      </c>
      <c r="S24" s="307">
        <f t="shared" ca="1" si="21"/>
        <v>7.1077647604658054</v>
      </c>
      <c r="T24" s="304">
        <f t="shared" ca="1" si="1"/>
        <v>69.727172300169556</v>
      </c>
      <c r="U24" s="311">
        <f t="shared" ca="1" si="2"/>
        <v>6.0771234915152119</v>
      </c>
      <c r="V24" s="306">
        <f t="shared" ca="1" si="3"/>
        <v>1.2247910801317037</v>
      </c>
      <c r="W24" s="304">
        <f t="shared" ca="1" si="4"/>
        <v>1.0961010539093794</v>
      </c>
      <c r="Y24" s="314" t="str">
        <f t="shared" ca="1" si="22"/>
        <v/>
      </c>
      <c r="Z24" s="315" t="str">
        <f t="shared" ca="1" si="23"/>
        <v/>
      </c>
      <c r="AA24" s="316" t="str">
        <f t="shared" ca="1" si="24"/>
        <v/>
      </c>
      <c r="AC24" s="310" t="e">
        <f t="shared" ca="1" si="25"/>
        <v>#N/A</v>
      </c>
      <c r="AD24" s="323" t="e">
        <f t="shared" ca="1" si="26"/>
        <v>#N/A</v>
      </c>
      <c r="AE24" s="324">
        <f t="shared" ca="1" si="5"/>
        <v>1.705613756134807</v>
      </c>
      <c r="AG24" s="306">
        <f t="shared" ca="1" si="27"/>
        <v>111.42070119982041</v>
      </c>
      <c r="AH24" s="304">
        <f t="shared" ca="1" si="28"/>
        <v>121.19337118810044</v>
      </c>
    </row>
    <row r="25" spans="1:34" x14ac:dyDescent="0.2">
      <c r="A25" s="347">
        <f t="shared" ca="1" si="6"/>
        <v>0.01</v>
      </c>
      <c r="B25" s="304">
        <f t="shared" ca="1" si="7"/>
        <v>0.21000000000000005</v>
      </c>
      <c r="D25" s="306">
        <f t="shared" ca="1" si="8"/>
        <v>9.6894669376165261</v>
      </c>
      <c r="E25" s="307">
        <f t="shared" ca="1" si="9"/>
        <v>110.75707620473202</v>
      </c>
      <c r="F25" s="304">
        <f t="shared" ca="1" si="10"/>
        <v>111.18010478028872</v>
      </c>
      <c r="G25" s="306">
        <f t="shared" ca="1" si="11"/>
        <v>1.8032405013482031</v>
      </c>
      <c r="H25" s="307">
        <f t="shared" ca="1" si="12"/>
        <v>20.612253415170873</v>
      </c>
      <c r="I25" s="304">
        <f t="shared" ca="1" si="13"/>
        <v>20.690980333394691</v>
      </c>
      <c r="J25" s="306">
        <f t="shared" ca="1" si="14"/>
        <v>0.16676158180602449</v>
      </c>
      <c r="K25" s="307">
        <f t="shared" ca="1" si="15"/>
        <v>1.9061984364762792</v>
      </c>
      <c r="L25" s="304">
        <f t="shared" ca="1" si="0"/>
        <v>1.9134790054743371</v>
      </c>
      <c r="M25" s="306">
        <f t="shared" ca="1" si="16"/>
        <v>1.4835298641951802</v>
      </c>
      <c r="N25" s="304">
        <f t="shared" ca="1" si="17"/>
        <v>85</v>
      </c>
      <c r="P25" s="310">
        <f t="shared" ca="1" si="18"/>
        <v>2</v>
      </c>
      <c r="Q25" s="304">
        <f t="shared" ca="1" si="19"/>
        <v>860.27777777777783</v>
      </c>
      <c r="R25" s="306">
        <f t="shared" ca="1" si="20"/>
        <v>0.43173333484477738</v>
      </c>
      <c r="S25" s="307">
        <f t="shared" ca="1" si="21"/>
        <v>7.1034474271173575</v>
      </c>
      <c r="T25" s="304">
        <f t="shared" ca="1" si="1"/>
        <v>69.684819260021285</v>
      </c>
      <c r="U25" s="311">
        <f t="shared" ca="1" si="2"/>
        <v>6.0734321808434686</v>
      </c>
      <c r="V25" s="306">
        <f t="shared" ca="1" si="3"/>
        <v>1.2247665129451646</v>
      </c>
      <c r="W25" s="304">
        <f t="shared" ca="1" si="4"/>
        <v>1.2240948011300503</v>
      </c>
      <c r="Y25" s="314" t="str">
        <f t="shared" ca="1" si="22"/>
        <v/>
      </c>
      <c r="Z25" s="315" t="str">
        <f t="shared" ca="1" si="23"/>
        <v/>
      </c>
      <c r="AA25" s="316" t="str">
        <f t="shared" ca="1" si="24"/>
        <v/>
      </c>
      <c r="AC25" s="310" t="e">
        <f t="shared" ca="1" si="25"/>
        <v>#N/A</v>
      </c>
      <c r="AD25" s="323" t="e">
        <f t="shared" ca="1" si="26"/>
        <v>#N/A</v>
      </c>
      <c r="AE25" s="324">
        <f t="shared" ca="1" si="5"/>
        <v>1.9061984364762792</v>
      </c>
      <c r="AG25" s="306">
        <f t="shared" ca="1" si="27"/>
        <v>111.18010477907431</v>
      </c>
      <c r="AH25" s="304">
        <f t="shared" ca="1" si="28"/>
        <v>120.95277476735434</v>
      </c>
    </row>
    <row r="26" spans="1:34" x14ac:dyDescent="0.2">
      <c r="A26" s="347">
        <f t="shared" ca="1" si="6"/>
        <v>0.01</v>
      </c>
      <c r="B26" s="304">
        <f t="shared" ca="1" si="7"/>
        <v>0.22000000000000006</v>
      </c>
      <c r="D26" s="306">
        <f t="shared" ca="1" si="8"/>
        <v>9.6683737395011526</v>
      </c>
      <c r="E26" s="307">
        <f t="shared" ca="1" si="9"/>
        <v>110.51596882378011</v>
      </c>
      <c r="F26" s="304">
        <f t="shared" ca="1" si="10"/>
        <v>110.93807649236312</v>
      </c>
      <c r="G26" s="306">
        <f t="shared" ca="1" si="11"/>
        <v>1.8999242387432147</v>
      </c>
      <c r="H26" s="307">
        <f t="shared" ca="1" si="12"/>
        <v>21.717413103408674</v>
      </c>
      <c r="I26" s="304">
        <f t="shared" ca="1" si="13"/>
        <v>21.800361098318319</v>
      </c>
      <c r="J26" s="306">
        <f t="shared" ca="1" si="14"/>
        <v>0.18527740550648159</v>
      </c>
      <c r="K26" s="307">
        <f t="shared" ca="1" si="15"/>
        <v>2.1178467690691769</v>
      </c>
      <c r="L26" s="304">
        <f t="shared" ca="1" si="0"/>
        <v>2.1259357126329022</v>
      </c>
      <c r="M26" s="306">
        <f t="shared" ca="1" si="16"/>
        <v>1.4835298641951802</v>
      </c>
      <c r="N26" s="304">
        <f t="shared" ca="1" si="17"/>
        <v>85</v>
      </c>
      <c r="P26" s="310">
        <f t="shared" ca="1" si="18"/>
        <v>2</v>
      </c>
      <c r="Q26" s="304">
        <f t="shared" ca="1" si="19"/>
        <v>858.16666666666663</v>
      </c>
      <c r="R26" s="306">
        <f t="shared" ca="1" si="20"/>
        <v>0.43067386653840978</v>
      </c>
      <c r="S26" s="307">
        <f t="shared" ca="1" si="21"/>
        <v>7.0991406884519739</v>
      </c>
      <c r="T26" s="304">
        <f t="shared" ca="1" si="1"/>
        <v>69.642570153713862</v>
      </c>
      <c r="U26" s="311">
        <f t="shared" ca="1" si="2"/>
        <v>6.0697499286028203</v>
      </c>
      <c r="V26" s="306">
        <f t="shared" ca="1" si="3"/>
        <v>1.2247405912401892</v>
      </c>
      <c r="W26" s="304">
        <f t="shared" ca="1" si="4"/>
        <v>1.3588486910334405</v>
      </c>
      <c r="Y26" s="314" t="str">
        <f t="shared" ca="1" si="22"/>
        <v/>
      </c>
      <c r="Z26" s="315" t="str">
        <f t="shared" ca="1" si="23"/>
        <v/>
      </c>
      <c r="AA26" s="316" t="str">
        <f t="shared" ca="1" si="24"/>
        <v/>
      </c>
      <c r="AC26" s="310" t="e">
        <f t="shared" ca="1" si="25"/>
        <v>#N/A</v>
      </c>
      <c r="AD26" s="323" t="e">
        <f t="shared" ca="1" si="26"/>
        <v>#N/A</v>
      </c>
      <c r="AE26" s="324">
        <f t="shared" ca="1" si="5"/>
        <v>2.1178467690691769</v>
      </c>
      <c r="AG26" s="306">
        <f t="shared" ca="1" si="27"/>
        <v>110.93807649115057</v>
      </c>
      <c r="AH26" s="304">
        <f t="shared" ca="1" si="28"/>
        <v>120.7107464794306</v>
      </c>
    </row>
    <row r="27" spans="1:34" x14ac:dyDescent="0.2">
      <c r="A27" s="347">
        <f t="shared" ca="1" si="6"/>
        <v>0.01</v>
      </c>
      <c r="B27" s="304">
        <f t="shared" ca="1" si="7"/>
        <v>0.23000000000000007</v>
      </c>
      <c r="D27" s="306">
        <f t="shared" ca="1" si="8"/>
        <v>9.6471562109828177</v>
      </c>
      <c r="E27" s="307">
        <f t="shared" ca="1" si="9"/>
        <v>110.27344031756617</v>
      </c>
      <c r="F27" s="304">
        <f t="shared" ca="1" si="10"/>
        <v>110.69462165087756</v>
      </c>
      <c r="G27" s="306">
        <f t="shared" ca="1" si="11"/>
        <v>1.9963958008530429</v>
      </c>
      <c r="H27" s="307">
        <f t="shared" ca="1" si="12"/>
        <v>22.820147506584334</v>
      </c>
      <c r="I27" s="304">
        <f t="shared" ca="1" si="13"/>
        <v>22.907307314827094</v>
      </c>
      <c r="J27" s="306">
        <f t="shared" ca="1" si="14"/>
        <v>0.20475900570446287</v>
      </c>
      <c r="K27" s="307">
        <f t="shared" ca="1" si="15"/>
        <v>2.3405345721191422</v>
      </c>
      <c r="L27" s="304">
        <f t="shared" ca="1" si="0"/>
        <v>2.349474054698629</v>
      </c>
      <c r="M27" s="306">
        <f t="shared" ca="1" si="16"/>
        <v>1.4835298641951802</v>
      </c>
      <c r="N27" s="304">
        <f t="shared" ca="1" si="17"/>
        <v>85</v>
      </c>
      <c r="P27" s="310">
        <f t="shared" ca="1" si="18"/>
        <v>2</v>
      </c>
      <c r="Q27" s="304">
        <f t="shared" ca="1" si="19"/>
        <v>856.05555555555554</v>
      </c>
      <c r="R27" s="306">
        <f t="shared" ca="1" si="20"/>
        <v>0.42961439823204223</v>
      </c>
      <c r="S27" s="307">
        <f t="shared" ca="1" si="21"/>
        <v>7.0948445444696535</v>
      </c>
      <c r="T27" s="304">
        <f t="shared" ca="1" si="1"/>
        <v>69.600424981247301</v>
      </c>
      <c r="U27" s="311">
        <f t="shared" ca="1" si="2"/>
        <v>6.0660767347932687</v>
      </c>
      <c r="V27" s="306">
        <f t="shared" ca="1" si="3"/>
        <v>1.2247133180643648</v>
      </c>
      <c r="W27" s="304">
        <f t="shared" ca="1" si="4"/>
        <v>1.5003139210056784</v>
      </c>
      <c r="Y27" s="314" t="str">
        <f t="shared" ca="1" si="22"/>
        <v/>
      </c>
      <c r="Z27" s="315" t="str">
        <f t="shared" ca="1" si="23"/>
        <v/>
      </c>
      <c r="AA27" s="316" t="str">
        <f t="shared" ca="1" si="24"/>
        <v/>
      </c>
      <c r="AC27" s="310" t="e">
        <f t="shared" ca="1" si="25"/>
        <v>#N/A</v>
      </c>
      <c r="AD27" s="323" t="e">
        <f t="shared" ca="1" si="26"/>
        <v>#N/A</v>
      </c>
      <c r="AE27" s="324">
        <f t="shared" ca="1" si="5"/>
        <v>2.3405345721191422</v>
      </c>
      <c r="AG27" s="306">
        <f t="shared" ca="1" si="27"/>
        <v>110.69462164966684</v>
      </c>
      <c r="AH27" s="304">
        <f t="shared" ca="1" si="28"/>
        <v>120.46729163794687</v>
      </c>
    </row>
    <row r="28" spans="1:34" x14ac:dyDescent="0.2">
      <c r="A28" s="347">
        <f t="shared" ca="1" si="6"/>
        <v>0.01</v>
      </c>
      <c r="B28" s="304">
        <f t="shared" ca="1" si="7"/>
        <v>0.24000000000000007</v>
      </c>
      <c r="D28" s="306">
        <f t="shared" ca="1" si="8"/>
        <v>9.6258148210489551</v>
      </c>
      <c r="E28" s="307">
        <f t="shared" ca="1" si="9"/>
        <v>110.02949604665019</v>
      </c>
      <c r="F28" s="304">
        <f t="shared" ca="1" si="10"/>
        <v>110.44974563686843</v>
      </c>
      <c r="G28" s="306">
        <f t="shared" ca="1" si="11"/>
        <v>2.0926539490635325</v>
      </c>
      <c r="H28" s="307">
        <f t="shared" ca="1" si="12"/>
        <v>23.920442467050837</v>
      </c>
      <c r="I28" s="304">
        <f t="shared" ca="1" si="13"/>
        <v>24.011804771195777</v>
      </c>
      <c r="J28" s="306">
        <f t="shared" ca="1" si="14"/>
        <v>0.22520425445404574</v>
      </c>
      <c r="K28" s="307">
        <f t="shared" ca="1" si="15"/>
        <v>2.5742375219873179</v>
      </c>
      <c r="L28" s="304">
        <f t="shared" ca="1" si="0"/>
        <v>2.584069615128743</v>
      </c>
      <c r="M28" s="306">
        <f t="shared" ca="1" si="16"/>
        <v>1.4835298641951802</v>
      </c>
      <c r="N28" s="304">
        <f t="shared" ca="1" si="17"/>
        <v>85</v>
      </c>
      <c r="P28" s="310">
        <f t="shared" ca="1" si="18"/>
        <v>2</v>
      </c>
      <c r="Q28" s="304">
        <f t="shared" ca="1" si="19"/>
        <v>853.94444444444446</v>
      </c>
      <c r="R28" s="306">
        <f t="shared" ca="1" si="20"/>
        <v>0.42855492992567468</v>
      </c>
      <c r="S28" s="307">
        <f t="shared" ca="1" si="21"/>
        <v>7.0905589951703965</v>
      </c>
      <c r="T28" s="304">
        <f t="shared" ca="1" si="1"/>
        <v>69.558383742621587</v>
      </c>
      <c r="U28" s="311">
        <f t="shared" ca="1" si="2"/>
        <v>6.062412599414813</v>
      </c>
      <c r="V28" s="306">
        <f t="shared" ca="1" si="3"/>
        <v>1.2246846964868632</v>
      </c>
      <c r="W28" s="304">
        <f t="shared" ca="1" si="4"/>
        <v>1.6484413969985721</v>
      </c>
      <c r="Y28" s="314" t="str">
        <f t="shared" ca="1" si="22"/>
        <v/>
      </c>
      <c r="Z28" s="315" t="str">
        <f t="shared" ca="1" si="23"/>
        <v/>
      </c>
      <c r="AA28" s="316" t="str">
        <f t="shared" ca="1" si="24"/>
        <v/>
      </c>
      <c r="AC28" s="310" t="e">
        <f t="shared" ca="1" si="25"/>
        <v>#N/A</v>
      </c>
      <c r="AD28" s="323" t="e">
        <f t="shared" ca="1" si="26"/>
        <v>#N/A</v>
      </c>
      <c r="AE28" s="324">
        <f t="shared" ca="1" si="5"/>
        <v>2.5742375219873179</v>
      </c>
      <c r="AG28" s="306">
        <f t="shared" ca="1" si="27"/>
        <v>110.44974563565954</v>
      </c>
      <c r="AH28" s="304">
        <f t="shared" ca="1" si="28"/>
        <v>120.22241562393957</v>
      </c>
    </row>
    <row r="29" spans="1:34" x14ac:dyDescent="0.2">
      <c r="A29" s="347">
        <f t="shared" ca="1" si="6"/>
        <v>0.01</v>
      </c>
      <c r="B29" s="304">
        <f t="shared" ca="1" si="7"/>
        <v>0.25000000000000006</v>
      </c>
      <c r="D29" s="306">
        <f t="shared" ca="1" si="8"/>
        <v>9.6043500445184442</v>
      </c>
      <c r="E29" s="307">
        <f t="shared" ca="1" si="9"/>
        <v>109.78414143824605</v>
      </c>
      <c r="F29" s="304">
        <f t="shared" ca="1" si="10"/>
        <v>110.20345389828059</v>
      </c>
      <c r="G29" s="306">
        <f t="shared" ca="1" si="11"/>
        <v>2.1886974495087168</v>
      </c>
      <c r="H29" s="307">
        <f t="shared" ca="1" si="12"/>
        <v>25.018283881433298</v>
      </c>
      <c r="I29" s="304">
        <f t="shared" ca="1" si="13"/>
        <v>25.113839310178584</v>
      </c>
      <c r="J29" s="306">
        <f t="shared" ca="1" si="14"/>
        <v>0.246611011446907</v>
      </c>
      <c r="K29" s="307">
        <f t="shared" ca="1" si="15"/>
        <v>2.8189311537297388</v>
      </c>
      <c r="L29" s="304">
        <f t="shared" ca="1" si="0"/>
        <v>2.8296978355356148</v>
      </c>
      <c r="M29" s="306">
        <f t="shared" ca="1" si="16"/>
        <v>1.4835298641951802</v>
      </c>
      <c r="N29" s="304">
        <f t="shared" ca="1" si="17"/>
        <v>85</v>
      </c>
      <c r="P29" s="310">
        <f t="shared" ca="1" si="18"/>
        <v>2</v>
      </c>
      <c r="Q29" s="304">
        <f t="shared" ca="1" si="19"/>
        <v>851.83333333333337</v>
      </c>
      <c r="R29" s="306">
        <f t="shared" ca="1" si="20"/>
        <v>0.42749546161930718</v>
      </c>
      <c r="S29" s="307">
        <f t="shared" ca="1" si="21"/>
        <v>7.0862840405542036</v>
      </c>
      <c r="T29" s="304">
        <f t="shared" ca="1" si="1"/>
        <v>69.516446437836734</v>
      </c>
      <c r="U29" s="311">
        <f t="shared" ca="1" si="2"/>
        <v>6.0587575224674541</v>
      </c>
      <c r="V29" s="306">
        <f t="shared" ca="1" si="3"/>
        <v>1.224654729598343</v>
      </c>
      <c r="W29" s="304">
        <f t="shared" ca="1" si="4"/>
        <v>1.8031817380520736</v>
      </c>
      <c r="Y29" s="314" t="str">
        <f t="shared" ca="1" si="22"/>
        <v/>
      </c>
      <c r="Z29" s="315" t="str">
        <f t="shared" ca="1" si="23"/>
        <v/>
      </c>
      <c r="AA29" s="316" t="str">
        <f t="shared" ca="1" si="24"/>
        <v/>
      </c>
      <c r="AC29" s="310" t="e">
        <f t="shared" ca="1" si="25"/>
        <v>#N/A</v>
      </c>
      <c r="AD29" s="323" t="e">
        <f t="shared" ca="1" si="26"/>
        <v>#N/A</v>
      </c>
      <c r="AE29" s="324">
        <f t="shared" ca="1" si="5"/>
        <v>2.8189311537297388</v>
      </c>
      <c r="AG29" s="306">
        <f t="shared" ca="1" si="27"/>
        <v>110.20345389707353</v>
      </c>
      <c r="AH29" s="304">
        <f t="shared" ca="1" si="28"/>
        <v>119.97612388535354</v>
      </c>
    </row>
    <row r="30" spans="1:34" x14ac:dyDescent="0.2">
      <c r="A30" s="347">
        <f t="shared" ca="1" si="6"/>
        <v>0.01</v>
      </c>
      <c r="B30" s="304">
        <f t="shared" ca="1" si="7"/>
        <v>0.26000000000000006</v>
      </c>
      <c r="D30" s="306">
        <f t="shared" ca="1" si="8"/>
        <v>9.5827623619964726</v>
      </c>
      <c r="E30" s="307">
        <f t="shared" ca="1" si="9"/>
        <v>109.53738198570574</v>
      </c>
      <c r="F30" s="304">
        <f t="shared" ca="1" si="10"/>
        <v>109.95575194944969</v>
      </c>
      <c r="G30" s="306">
        <f t="shared" ca="1" si="11"/>
        <v>2.2845250731286817</v>
      </c>
      <c r="H30" s="307">
        <f t="shared" ca="1" si="12"/>
        <v>26.113657701290357</v>
      </c>
      <c r="I30" s="304">
        <f t="shared" ca="1" si="13"/>
        <v>26.213396829673083</v>
      </c>
      <c r="J30" s="306">
        <f t="shared" ca="1" si="14"/>
        <v>0.268977124060094</v>
      </c>
      <c r="K30" s="307">
        <f t="shared" ca="1" si="15"/>
        <v>3.0745908616433573</v>
      </c>
      <c r="L30" s="304">
        <f t="shared" ca="1" si="0"/>
        <v>3.0863340162348729</v>
      </c>
      <c r="M30" s="306">
        <f t="shared" ca="1" si="16"/>
        <v>1.4835298641951802</v>
      </c>
      <c r="N30" s="304">
        <f t="shared" ca="1" si="17"/>
        <v>85</v>
      </c>
      <c r="P30" s="310">
        <f t="shared" ca="1" si="18"/>
        <v>2</v>
      </c>
      <c r="Q30" s="304">
        <f t="shared" ca="1" si="19"/>
        <v>849.72222222222217</v>
      </c>
      <c r="R30" s="306">
        <f t="shared" ca="1" si="20"/>
        <v>0.42643599331293958</v>
      </c>
      <c r="S30" s="307">
        <f t="shared" ca="1" si="21"/>
        <v>7.082019680621074</v>
      </c>
      <c r="T30" s="304">
        <f t="shared" ca="1" si="1"/>
        <v>69.474613066892744</v>
      </c>
      <c r="U30" s="311">
        <f t="shared" ca="1" si="2"/>
        <v>6.0551115039511929</v>
      </c>
      <c r="V30" s="306">
        <f t="shared" ca="1" si="3"/>
        <v>1.2246234205108415</v>
      </c>
      <c r="W30" s="304">
        <f t="shared" ca="1" si="4"/>
        <v>1.9644852808442372</v>
      </c>
      <c r="Y30" s="314" t="str">
        <f t="shared" ca="1" si="22"/>
        <v/>
      </c>
      <c r="Z30" s="315" t="str">
        <f t="shared" ca="1" si="23"/>
        <v/>
      </c>
      <c r="AA30" s="316" t="str">
        <f t="shared" ca="1" si="24"/>
        <v/>
      </c>
      <c r="AC30" s="310" t="e">
        <f t="shared" ca="1" si="25"/>
        <v>#N/A</v>
      </c>
      <c r="AD30" s="323" t="e">
        <f t="shared" ca="1" si="26"/>
        <v>#N/A</v>
      </c>
      <c r="AE30" s="324">
        <f t="shared" ca="1" si="5"/>
        <v>3.0745908616433573</v>
      </c>
      <c r="AG30" s="306">
        <f t="shared" ca="1" si="27"/>
        <v>109.95575194824443</v>
      </c>
      <c r="AH30" s="304">
        <f t="shared" ca="1" si="28"/>
        <v>119.72842193652446</v>
      </c>
    </row>
    <row r="31" spans="1:34" x14ac:dyDescent="0.2">
      <c r="A31" s="347">
        <f t="shared" ca="1" si="6"/>
        <v>0.01</v>
      </c>
      <c r="B31" s="304">
        <f t="shared" ca="1" si="7"/>
        <v>0.27000000000000007</v>
      </c>
      <c r="D31" s="306">
        <f t="shared" ca="1" si="8"/>
        <v>9.5610522598288146</v>
      </c>
      <c r="E31" s="307">
        <f t="shared" ca="1" si="9"/>
        <v>109.2892232479966</v>
      </c>
      <c r="F31" s="304">
        <f t="shared" ca="1" si="10"/>
        <v>109.70664537057735</v>
      </c>
      <c r="G31" s="306">
        <f t="shared" ca="1" si="11"/>
        <v>2.3801355957269696</v>
      </c>
      <c r="H31" s="307">
        <f t="shared" ca="1" si="12"/>
        <v>27.206549933770322</v>
      </c>
      <c r="I31" s="304">
        <f t="shared" ca="1" si="13"/>
        <v>27.310463283378851</v>
      </c>
      <c r="J31" s="306">
        <f t="shared" ca="1" si="14"/>
        <v>0.29230042740437223</v>
      </c>
      <c r="K31" s="307">
        <f t="shared" ca="1" si="15"/>
        <v>3.3411918998186607</v>
      </c>
      <c r="L31" s="304">
        <f t="shared" ca="1" si="0"/>
        <v>3.3539533168001325</v>
      </c>
      <c r="M31" s="306">
        <f t="shared" ca="1" si="16"/>
        <v>1.4835298641951802</v>
      </c>
      <c r="N31" s="304">
        <f t="shared" ca="1" si="17"/>
        <v>85</v>
      </c>
      <c r="P31" s="310">
        <f t="shared" ca="1" si="18"/>
        <v>2</v>
      </c>
      <c r="Q31" s="304">
        <f t="shared" ca="1" si="19"/>
        <v>847.61111111111109</v>
      </c>
      <c r="R31" s="306">
        <f t="shared" ca="1" si="20"/>
        <v>0.42537652500657203</v>
      </c>
      <c r="S31" s="307">
        <f t="shared" ca="1" si="21"/>
        <v>7.0777659153710086</v>
      </c>
      <c r="T31" s="304">
        <f t="shared" ca="1" si="1"/>
        <v>69.4328836297896</v>
      </c>
      <c r="U31" s="311">
        <f t="shared" ca="1" si="2"/>
        <v>6.0514745438660267</v>
      </c>
      <c r="V31" s="306">
        <f t="shared" ca="1" si="3"/>
        <v>1.2245907723576765</v>
      </c>
      <c r="W31" s="304">
        <f t="shared" ca="1" si="4"/>
        <v>2.1323020842679505</v>
      </c>
      <c r="Y31" s="314" t="str">
        <f t="shared" ca="1" si="22"/>
        <v/>
      </c>
      <c r="Z31" s="315" t="str">
        <f t="shared" ca="1" si="23"/>
        <v/>
      </c>
      <c r="AA31" s="316" t="str">
        <f t="shared" ca="1" si="24"/>
        <v/>
      </c>
      <c r="AC31" s="310" t="e">
        <f t="shared" ca="1" si="25"/>
        <v>#N/A</v>
      </c>
      <c r="AD31" s="323" t="e">
        <f t="shared" ca="1" si="26"/>
        <v>#N/A</v>
      </c>
      <c r="AE31" s="324">
        <f t="shared" ca="1" si="5"/>
        <v>3.3411918998186607</v>
      </c>
      <c r="AG31" s="306">
        <f t="shared" ca="1" si="27"/>
        <v>109.7066453693739</v>
      </c>
      <c r="AH31" s="304">
        <f t="shared" ca="1" si="28"/>
        <v>119.47931535765393</v>
      </c>
    </row>
    <row r="32" spans="1:34" x14ac:dyDescent="0.2">
      <c r="A32" s="347">
        <f t="shared" ca="1" si="6"/>
        <v>0.01</v>
      </c>
      <c r="B32" s="304">
        <f t="shared" ca="1" si="7"/>
        <v>0.28000000000000008</v>
      </c>
      <c r="D32" s="306">
        <f t="shared" ca="1" si="8"/>
        <v>9.5392202300554452</v>
      </c>
      <c r="E32" s="307">
        <f t="shared" ca="1" si="9"/>
        <v>109.03967084917122</v>
      </c>
      <c r="F32" s="304">
        <f t="shared" ca="1" si="10"/>
        <v>109.45613980719902</v>
      </c>
      <c r="G32" s="306">
        <f t="shared" ca="1" si="11"/>
        <v>2.4755277980275241</v>
      </c>
      <c r="H32" s="307">
        <f t="shared" ca="1" si="12"/>
        <v>28.296946642262036</v>
      </c>
      <c r="I32" s="304">
        <f t="shared" ca="1" si="13"/>
        <v>28.405024681450843</v>
      </c>
      <c r="J32" s="306">
        <f t="shared" ca="1" si="14"/>
        <v>0.3165787443731447</v>
      </c>
      <c r="K32" s="307">
        <f t="shared" ca="1" si="15"/>
        <v>3.6187093826988224</v>
      </c>
      <c r="L32" s="304">
        <f t="shared" ca="1" si="0"/>
        <v>3.6325307566242806</v>
      </c>
      <c r="M32" s="306">
        <f t="shared" ca="1" si="16"/>
        <v>1.4835298641951802</v>
      </c>
      <c r="N32" s="304">
        <f t="shared" ca="1" si="17"/>
        <v>85</v>
      </c>
      <c r="P32" s="310">
        <f t="shared" ca="1" si="18"/>
        <v>2</v>
      </c>
      <c r="Q32" s="304">
        <f t="shared" ca="1" si="19"/>
        <v>845.5</v>
      </c>
      <c r="R32" s="306">
        <f t="shared" ca="1" si="20"/>
        <v>0.42431705670020448</v>
      </c>
      <c r="S32" s="307">
        <f t="shared" ca="1" si="21"/>
        <v>7.0735227448040066</v>
      </c>
      <c r="T32" s="304">
        <f t="shared" ca="1" si="1"/>
        <v>69.391258126527305</v>
      </c>
      <c r="U32" s="311">
        <f t="shared" ca="1" si="2"/>
        <v>6.0478466422119563</v>
      </c>
      <c r="V32" s="306">
        <f t="shared" ca="1" si="3"/>
        <v>1.2245567882933375</v>
      </c>
      <c r="W32" s="304">
        <f t="shared" ca="1" si="4"/>
        <v>2.306581934033674</v>
      </c>
      <c r="Y32" s="314" t="str">
        <f t="shared" ca="1" si="22"/>
        <v/>
      </c>
      <c r="Z32" s="315" t="str">
        <f t="shared" ca="1" si="23"/>
        <v/>
      </c>
      <c r="AA32" s="316" t="str">
        <f t="shared" ca="1" si="24"/>
        <v/>
      </c>
      <c r="AC32" s="310" t="e">
        <f t="shared" ca="1" si="25"/>
        <v>#N/A</v>
      </c>
      <c r="AD32" s="323" t="e">
        <f t="shared" ca="1" si="26"/>
        <v>#N/A</v>
      </c>
      <c r="AE32" s="324">
        <f t="shared" ca="1" si="5"/>
        <v>3.6187093826988224</v>
      </c>
      <c r="AG32" s="306">
        <f t="shared" ca="1" si="27"/>
        <v>109.4561398059974</v>
      </c>
      <c r="AH32" s="304">
        <f t="shared" ca="1" si="28"/>
        <v>119.22880979427742</v>
      </c>
    </row>
    <row r="33" spans="1:34" x14ac:dyDescent="0.2">
      <c r="A33" s="347">
        <f t="shared" ca="1" si="6"/>
        <v>0.01</v>
      </c>
      <c r="B33" s="304">
        <f t="shared" ca="1" si="7"/>
        <v>0.29000000000000009</v>
      </c>
      <c r="D33" s="306">
        <f t="shared" ca="1" si="8"/>
        <v>9.5172667703635483</v>
      </c>
      <c r="E33" s="307">
        <f t="shared" ca="1" si="9"/>
        <v>108.78873047783033</v>
      </c>
      <c r="F33" s="304">
        <f t="shared" ca="1" si="10"/>
        <v>109.20424096964493</v>
      </c>
      <c r="G33" s="306">
        <f t="shared" ca="1" si="11"/>
        <v>2.5707004657311594</v>
      </c>
      <c r="H33" s="307">
        <f t="shared" ca="1" si="12"/>
        <v>29.384833947040338</v>
      </c>
      <c r="I33" s="304">
        <f t="shared" ca="1" si="13"/>
        <v>29.497067091147294</v>
      </c>
      <c r="J33" s="306">
        <f t="shared" ca="1" si="14"/>
        <v>0.3418098856919381</v>
      </c>
      <c r="K33" s="307">
        <f t="shared" ca="1" si="15"/>
        <v>3.9071182856453341</v>
      </c>
      <c r="L33" s="304">
        <f t="shared" ca="1" si="0"/>
        <v>3.9220412154872712</v>
      </c>
      <c r="M33" s="306">
        <f t="shared" ca="1" si="16"/>
        <v>1.4835298641951802</v>
      </c>
      <c r="N33" s="304">
        <f t="shared" ca="1" si="17"/>
        <v>85</v>
      </c>
      <c r="P33" s="310">
        <f t="shared" ca="1" si="18"/>
        <v>2</v>
      </c>
      <c r="Q33" s="304">
        <f t="shared" ca="1" si="19"/>
        <v>843.38888888888891</v>
      </c>
      <c r="R33" s="306">
        <f t="shared" ca="1" si="20"/>
        <v>0.42325758839383693</v>
      </c>
      <c r="S33" s="307">
        <f t="shared" ca="1" si="21"/>
        <v>7.0692901689200678</v>
      </c>
      <c r="T33" s="304">
        <f t="shared" ca="1" si="1"/>
        <v>69.349736557105871</v>
      </c>
      <c r="U33" s="311">
        <f t="shared" ca="1" si="2"/>
        <v>6.0442277989889828</v>
      </c>
      <c r="V33" s="306">
        <f t="shared" ca="1" si="3"/>
        <v>1.2245214714933823</v>
      </c>
      <c r="W33" s="304">
        <f t="shared" ca="1" si="4"/>
        <v>2.4872743472974297</v>
      </c>
      <c r="Y33" s="314" t="str">
        <f t="shared" ca="1" si="22"/>
        <v>Sortie de rampe</v>
      </c>
      <c r="Z33" s="315" t="str">
        <f t="shared" ca="1" si="23"/>
        <v/>
      </c>
      <c r="AA33" s="316" t="str">
        <f t="shared" ca="1" si="24"/>
        <v/>
      </c>
      <c r="AC33" s="310" t="e">
        <f t="shared" ca="1" si="25"/>
        <v>#N/A</v>
      </c>
      <c r="AD33" s="323" t="e">
        <f t="shared" ca="1" si="26"/>
        <v>#N/A</v>
      </c>
      <c r="AE33" s="324">
        <f t="shared" ca="1" si="5"/>
        <v>3.9071182856453341</v>
      </c>
      <c r="AG33" s="306">
        <f t="shared" ca="1" si="27"/>
        <v>109.20424096844509</v>
      </c>
      <c r="AH33" s="304">
        <f t="shared" ca="1" si="28"/>
        <v>118.97691095672512</v>
      </c>
    </row>
    <row r="34" spans="1:34" x14ac:dyDescent="0.2">
      <c r="A34" s="347">
        <f t="shared" ca="1" si="6"/>
        <v>0.01</v>
      </c>
      <c r="B34" s="304">
        <f t="shared" ca="1" si="7"/>
        <v>0.3000000000000001</v>
      </c>
      <c r="D34" s="306">
        <f t="shared" ca="1" si="8"/>
        <v>9.4951923840399246</v>
      </c>
      <c r="E34" s="307">
        <f t="shared" ca="1" si="9"/>
        <v>108.53640788657876</v>
      </c>
      <c r="F34" s="304">
        <f t="shared" ca="1" si="10"/>
        <v>108.9509546324938</v>
      </c>
      <c r="G34" s="306">
        <f t="shared" ca="1" si="11"/>
        <v>2.6656523895715587</v>
      </c>
      <c r="H34" s="307">
        <f t="shared" ca="1" si="12"/>
        <v>30.470198025906125</v>
      </c>
      <c r="I34" s="304">
        <f t="shared" ca="1" si="13"/>
        <v>30.586576637472231</v>
      </c>
      <c r="J34" s="306">
        <f t="shared" ca="1" si="14"/>
        <v>0.36799164996845168</v>
      </c>
      <c r="K34" s="307">
        <f t="shared" ca="1" si="15"/>
        <v>4.2063934455100664</v>
      </c>
      <c r="L34" s="304">
        <f t="shared" ca="1" si="0"/>
        <v>4.2224594341303687</v>
      </c>
      <c r="M34" s="306">
        <f t="shared" ca="1" si="16"/>
        <v>1.4835298641951802</v>
      </c>
      <c r="N34" s="304">
        <f t="shared" ca="1" si="17"/>
        <v>85</v>
      </c>
      <c r="P34" s="310">
        <f t="shared" ca="1" si="18"/>
        <v>2</v>
      </c>
      <c r="Q34" s="304">
        <f t="shared" ca="1" si="19"/>
        <v>841.27777777777771</v>
      </c>
      <c r="R34" s="306">
        <f t="shared" ca="1" si="20"/>
        <v>0.42219812008746938</v>
      </c>
      <c r="S34" s="307">
        <f t="shared" ca="1" si="21"/>
        <v>7.0650681877191932</v>
      </c>
      <c r="T34" s="304">
        <f t="shared" ca="1" si="1"/>
        <v>69.308318921525284</v>
      </c>
      <c r="U34" s="311">
        <f t="shared" ca="1" si="2"/>
        <v>0</v>
      </c>
      <c r="V34" s="306">
        <f t="shared" ca="1" si="3"/>
        <v>1.2244848251543297</v>
      </c>
      <c r="W34" s="304">
        <f t="shared" ca="1" si="4"/>
        <v>2.6743285773132914</v>
      </c>
      <c r="Y34" s="314" t="str">
        <f t="shared" ca="1" si="22"/>
        <v/>
      </c>
      <c r="Z34" s="315" t="str">
        <f t="shared" ca="1" si="23"/>
        <v/>
      </c>
      <c r="AA34" s="316" t="str">
        <f t="shared" ca="1" si="24"/>
        <v/>
      </c>
      <c r="AC34" s="310" t="e">
        <f t="shared" ca="1" si="25"/>
        <v>#N/A</v>
      </c>
      <c r="AD34" s="323" t="e">
        <f t="shared" ca="1" si="26"/>
        <v>#N/A</v>
      </c>
      <c r="AE34" s="324">
        <f t="shared" ca="1" si="5"/>
        <v>4.2063934455100664</v>
      </c>
      <c r="AG34" s="306">
        <f t="shared" ca="1" si="27"/>
        <v>108.95095463129579</v>
      </c>
      <c r="AH34" s="304">
        <f t="shared" ca="1" si="28"/>
        <v>118.72362461957582</v>
      </c>
    </row>
    <row r="35" spans="1:34" x14ac:dyDescent="0.2">
      <c r="A35" s="347">
        <f t="shared" ca="1" si="6"/>
        <v>0.01</v>
      </c>
      <c r="B35" s="304">
        <f t="shared" ca="1" si="7"/>
        <v>0.31000000000000011</v>
      </c>
      <c r="D35" s="306">
        <f t="shared" ca="1" si="8"/>
        <v>10.325249906852408</v>
      </c>
      <c r="E35" s="307">
        <f t="shared" ca="1" si="9"/>
        <v>108.20814647440476</v>
      </c>
      <c r="F35" s="304">
        <f t="shared" ca="1" si="10"/>
        <v>108.69964925916362</v>
      </c>
      <c r="G35" s="306">
        <f t="shared" ca="1" si="11"/>
        <v>2.7689048886400829</v>
      </c>
      <c r="H35" s="307">
        <f t="shared" ca="1" si="12"/>
        <v>31.552279490650172</v>
      </c>
      <c r="I35" s="304">
        <f t="shared" ca="1" si="13"/>
        <v>31.673540618920999</v>
      </c>
      <c r="J35" s="306">
        <f t="shared" ca="1" si="14"/>
        <v>0.39516443635950987</v>
      </c>
      <c r="K35" s="307">
        <f t="shared" ca="1" si="15"/>
        <v>4.5165058330928476</v>
      </c>
      <c r="L35" s="304">
        <f t="shared" ca="1" si="0"/>
        <v>4.5337600148359245</v>
      </c>
      <c r="M35" s="306">
        <f t="shared" ca="1" si="16"/>
        <v>1.4832644686906464</v>
      </c>
      <c r="N35" s="304">
        <f t="shared" ca="1" si="17"/>
        <v>84.984793957688481</v>
      </c>
      <c r="P35" s="310">
        <f t="shared" ca="1" si="18"/>
        <v>2</v>
      </c>
      <c r="Q35" s="304">
        <f t="shared" ca="1" si="19"/>
        <v>839.16666666666663</v>
      </c>
      <c r="R35" s="306">
        <f t="shared" ca="1" si="20"/>
        <v>0.42113865178110182</v>
      </c>
      <c r="S35" s="307">
        <f t="shared" ca="1" si="21"/>
        <v>7.0608568012013819</v>
      </c>
      <c r="T35" s="304">
        <f t="shared" ca="1" si="1"/>
        <v>69.26700521978556</v>
      </c>
      <c r="U35" s="311">
        <f t="shared" ca="1" si="2"/>
        <v>0</v>
      </c>
      <c r="V35" s="306">
        <f t="shared" ca="1" si="3"/>
        <v>1.2244468529500401</v>
      </c>
      <c r="W35" s="304">
        <f t="shared" ca="1" si="4"/>
        <v>2.8676938211005694</v>
      </c>
      <c r="Y35" s="314" t="str">
        <f t="shared" ca="1" si="22"/>
        <v/>
      </c>
      <c r="Z35" s="315" t="str">
        <f t="shared" ca="1" si="23"/>
        <v/>
      </c>
      <c r="AA35" s="316" t="str">
        <f t="shared" ca="1" si="24"/>
        <v/>
      </c>
      <c r="AC35" s="310" t="e">
        <f t="shared" ca="1" si="25"/>
        <v>#N/A</v>
      </c>
      <c r="AD35" s="323" t="e">
        <f t="shared" ca="1" si="26"/>
        <v>#N/A</v>
      </c>
      <c r="AE35" s="324">
        <f t="shared" ca="1" si="5"/>
        <v>4.5165058330928476</v>
      </c>
      <c r="AG35" s="306">
        <f t="shared" ca="1" si="27"/>
        <v>108.69628663282393</v>
      </c>
      <c r="AH35" s="304">
        <f t="shared" ca="1" si="28"/>
        <v>118.46895662110396</v>
      </c>
    </row>
    <row r="36" spans="1:34" x14ac:dyDescent="0.2">
      <c r="A36" s="347">
        <f t="shared" ca="1" si="6"/>
        <v>0.01</v>
      </c>
      <c r="B36" s="304">
        <f t="shared" ca="1" si="7"/>
        <v>0.32000000000000012</v>
      </c>
      <c r="D36" s="306">
        <f t="shared" ca="1" si="8"/>
        <v>10.334187648436934</v>
      </c>
      <c r="E36" s="307">
        <f t="shared" ca="1" si="9"/>
        <v>107.9503385114652</v>
      </c>
      <c r="F36" s="304">
        <f t="shared" ca="1" si="10"/>
        <v>108.4438611406521</v>
      </c>
      <c r="G36" s="306">
        <f t="shared" ca="1" si="11"/>
        <v>2.8722467651244523</v>
      </c>
      <c r="H36" s="307">
        <f t="shared" ca="1" si="12"/>
        <v>32.631782875764827</v>
      </c>
      <c r="I36" s="304">
        <f t="shared" ca="1" si="13"/>
        <v>32.757946442517216</v>
      </c>
      <c r="J36" s="306">
        <f t="shared" ca="1" si="14"/>
        <v>0.42337019462833253</v>
      </c>
      <c r="K36" s="307">
        <f t="shared" ca="1" si="15"/>
        <v>4.8374261449249225</v>
      </c>
      <c r="L36" s="304">
        <f t="shared" ca="1" si="0"/>
        <v>4.8559174240613716</v>
      </c>
      <c r="M36" s="306">
        <f t="shared" ca="1" si="16"/>
        <v>1.4830026722315197</v>
      </c>
      <c r="N36" s="304">
        <f t="shared" ca="1" si="17"/>
        <v>84.969794125489045</v>
      </c>
      <c r="P36" s="310">
        <f t="shared" ca="1" si="18"/>
        <v>2</v>
      </c>
      <c r="Q36" s="304">
        <f t="shared" ca="1" si="19"/>
        <v>837.05555555555554</v>
      </c>
      <c r="R36" s="306">
        <f t="shared" ca="1" si="20"/>
        <v>0.42007918347473427</v>
      </c>
      <c r="S36" s="307">
        <f t="shared" ca="1" si="21"/>
        <v>7.0566560093666348</v>
      </c>
      <c r="T36" s="304">
        <f t="shared" ca="1" si="1"/>
        <v>69.225795451886697</v>
      </c>
      <c r="U36" s="311">
        <f t="shared" ca="1" si="2"/>
        <v>0</v>
      </c>
      <c r="V36" s="306">
        <f t="shared" ca="1" si="3"/>
        <v>1.2244075585918246</v>
      </c>
      <c r="W36" s="304">
        <f t="shared" ca="1" si="4"/>
        <v>3.0673190583902405</v>
      </c>
      <c r="Y36" s="314" t="str">
        <f t="shared" ca="1" si="22"/>
        <v/>
      </c>
      <c r="Z36" s="315" t="str">
        <f t="shared" ca="1" si="23"/>
        <v/>
      </c>
      <c r="AA36" s="316" t="str">
        <f t="shared" ca="1" si="24"/>
        <v/>
      </c>
      <c r="AC36" s="310" t="e">
        <f t="shared" ca="1" si="25"/>
        <v>#N/A</v>
      </c>
      <c r="AD36" s="323" t="e">
        <f t="shared" ca="1" si="26"/>
        <v>#N/A</v>
      </c>
      <c r="AE36" s="324">
        <f t="shared" ca="1" si="5"/>
        <v>4.8374261449249225</v>
      </c>
      <c r="AG36" s="306">
        <f t="shared" ca="1" si="27"/>
        <v>108.44047010242126</v>
      </c>
      <c r="AH36" s="304">
        <f t="shared" ca="1" si="28"/>
        <v>118.21291283395389</v>
      </c>
    </row>
    <row r="37" spans="1:34" x14ac:dyDescent="0.2">
      <c r="A37" s="347">
        <f t="shared" ca="1" si="6"/>
        <v>0.01</v>
      </c>
      <c r="B37" s="304">
        <f t="shared" ca="1" si="7"/>
        <v>0.33000000000000013</v>
      </c>
      <c r="D37" s="306">
        <f t="shared" ca="1" si="8"/>
        <v>10.342446269208574</v>
      </c>
      <c r="E37" s="307">
        <f t="shared" ca="1" si="9"/>
        <v>107.69120677617168</v>
      </c>
      <c r="F37" s="304">
        <f t="shared" ca="1" si="10"/>
        <v>108.18670071565928</v>
      </c>
      <c r="G37" s="306">
        <f t="shared" ca="1" si="11"/>
        <v>2.9756712278165383</v>
      </c>
      <c r="H37" s="307">
        <f t="shared" ca="1" si="12"/>
        <v>33.708694943526545</v>
      </c>
      <c r="I37" s="304">
        <f t="shared" ca="1" si="13"/>
        <v>33.839780348752079</v>
      </c>
      <c r="J37" s="306">
        <f t="shared" ca="1" si="14"/>
        <v>0.45260978459303747</v>
      </c>
      <c r="K37" s="307">
        <f t="shared" ca="1" si="15"/>
        <v>5.1691285340213797</v>
      </c>
      <c r="L37" s="304">
        <f t="shared" ca="1" si="0"/>
        <v>5.1889059943636839</v>
      </c>
      <c r="M37" s="306">
        <f t="shared" ca="1" si="16"/>
        <v>1.4827484891987754</v>
      </c>
      <c r="N37" s="304">
        <f t="shared" ca="1" si="17"/>
        <v>84.95523051048896</v>
      </c>
      <c r="P37" s="310">
        <f t="shared" ca="1" si="18"/>
        <v>2</v>
      </c>
      <c r="Q37" s="304">
        <f t="shared" ca="1" si="19"/>
        <v>834.94444444444446</v>
      </c>
      <c r="R37" s="306">
        <f t="shared" ca="1" si="20"/>
        <v>0.41901971516836672</v>
      </c>
      <c r="S37" s="307">
        <f t="shared" ca="1" si="21"/>
        <v>7.0524658122149511</v>
      </c>
      <c r="T37" s="304">
        <f t="shared" ca="1" si="1"/>
        <v>69.184689617828667</v>
      </c>
      <c r="U37" s="311">
        <f t="shared" ca="1" si="2"/>
        <v>0</v>
      </c>
      <c r="V37" s="306">
        <f t="shared" ca="1" si="3"/>
        <v>1.2243669453716197</v>
      </c>
      <c r="W37" s="304">
        <f t="shared" ca="1" si="4"/>
        <v>3.2731528097399143</v>
      </c>
      <c r="Y37" s="314" t="str">
        <f t="shared" ca="1" si="22"/>
        <v/>
      </c>
      <c r="Z37" s="315" t="str">
        <f t="shared" ca="1" si="23"/>
        <v/>
      </c>
      <c r="AA37" s="316" t="str">
        <f t="shared" ca="1" si="24"/>
        <v/>
      </c>
      <c r="AC37" s="310" t="e">
        <f t="shared" ca="1" si="25"/>
        <v>#N/A</v>
      </c>
      <c r="AD37" s="323" t="e">
        <f t="shared" ca="1" si="26"/>
        <v>#N/A</v>
      </c>
      <c r="AE37" s="324">
        <f t="shared" ca="1" si="5"/>
        <v>5.1691285340213797</v>
      </c>
      <c r="AG37" s="306">
        <f t="shared" ca="1" si="27"/>
        <v>108.183281305744</v>
      </c>
      <c r="AH37" s="304">
        <f t="shared" ca="1" si="28"/>
        <v>117.9554991879909</v>
      </c>
    </row>
    <row r="38" spans="1:34" x14ac:dyDescent="0.2">
      <c r="A38" s="347">
        <f t="shared" ca="1" si="6"/>
        <v>0.01</v>
      </c>
      <c r="B38" s="304">
        <f t="shared" ca="1" si="7"/>
        <v>0.34000000000000014</v>
      </c>
      <c r="D38" s="306">
        <f t="shared" ca="1" si="8"/>
        <v>10.349557378197453</v>
      </c>
      <c r="E38" s="307">
        <f t="shared" ca="1" si="9"/>
        <v>107.43079905096668</v>
      </c>
      <c r="F38" s="304">
        <f t="shared" ca="1" si="10"/>
        <v>107.92817019969247</v>
      </c>
      <c r="G38" s="306">
        <f t="shared" ca="1" si="11"/>
        <v>3.0791668015985127</v>
      </c>
      <c r="H38" s="307">
        <f t="shared" ca="1" si="12"/>
        <v>34.783002934036212</v>
      </c>
      <c r="I38" s="304">
        <f t="shared" ca="1" si="13"/>
        <v>34.91902864200604</v>
      </c>
      <c r="J38" s="306">
        <f t="shared" ca="1" si="14"/>
        <v>0.48288397474011274</v>
      </c>
      <c r="K38" s="307">
        <f t="shared" ca="1" si="15"/>
        <v>5.5115870234091933</v>
      </c>
      <c r="L38" s="304">
        <f t="shared" ca="1" si="0"/>
        <v>5.5326999240581829</v>
      </c>
      <c r="M38" s="306">
        <f t="shared" ca="1" si="16"/>
        <v>1.482501450911381</v>
      </c>
      <c r="N38" s="304">
        <f t="shared" ca="1" si="17"/>
        <v>84.941076259243118</v>
      </c>
      <c r="P38" s="310">
        <f t="shared" ca="1" si="18"/>
        <v>2</v>
      </c>
      <c r="Q38" s="304">
        <f t="shared" ca="1" si="19"/>
        <v>832.83333333333326</v>
      </c>
      <c r="R38" s="306">
        <f t="shared" ca="1" si="20"/>
        <v>0.41796024686199912</v>
      </c>
      <c r="S38" s="307">
        <f t="shared" ca="1" si="21"/>
        <v>7.0482862097463315</v>
      </c>
      <c r="T38" s="304">
        <f t="shared" ca="1" si="1"/>
        <v>69.143687717611513</v>
      </c>
      <c r="U38" s="311">
        <f t="shared" ca="1" si="2"/>
        <v>0</v>
      </c>
      <c r="V38" s="306">
        <f t="shared" ca="1" si="3"/>
        <v>1.2243250166011197</v>
      </c>
      <c r="W38" s="304">
        <f t="shared" ca="1" si="4"/>
        <v>3.4851433496897246</v>
      </c>
      <c r="Y38" s="314" t="str">
        <f t="shared" ca="1" si="22"/>
        <v/>
      </c>
      <c r="Z38" s="315" t="str">
        <f t="shared" ca="1" si="23"/>
        <v/>
      </c>
      <c r="AA38" s="316" t="str">
        <f t="shared" ca="1" si="24"/>
        <v/>
      </c>
      <c r="AC38" s="310" t="e">
        <f t="shared" ca="1" si="25"/>
        <v>#N/A</v>
      </c>
      <c r="AD38" s="323" t="e">
        <f t="shared" ca="1" si="26"/>
        <v>#N/A</v>
      </c>
      <c r="AE38" s="324">
        <f t="shared" ca="1" si="5"/>
        <v>5.5115870234091933</v>
      </c>
      <c r="AG38" s="306">
        <f t="shared" ca="1" si="27"/>
        <v>107.9247227736204</v>
      </c>
      <c r="AH38" s="304">
        <f t="shared" ca="1" si="28"/>
        <v>117.69672170470065</v>
      </c>
    </row>
    <row r="39" spans="1:34" x14ac:dyDescent="0.2">
      <c r="A39" s="347">
        <f t="shared" ca="1" si="6"/>
        <v>0.01</v>
      </c>
      <c r="B39" s="304">
        <f t="shared" ca="1" si="7"/>
        <v>0.35000000000000014</v>
      </c>
      <c r="D39" s="306">
        <f t="shared" ca="1" si="8"/>
        <v>10.355581251982048</v>
      </c>
      <c r="E39" s="307">
        <f t="shared" ca="1" si="9"/>
        <v>107.16911684561863</v>
      </c>
      <c r="F39" s="304">
        <f t="shared" ca="1" si="10"/>
        <v>107.66827605444541</v>
      </c>
      <c r="G39" s="306">
        <f t="shared" ca="1" si="11"/>
        <v>3.1827226141183331</v>
      </c>
      <c r="H39" s="307">
        <f t="shared" ca="1" si="12"/>
        <v>35.854694102492395</v>
      </c>
      <c r="I39" s="304">
        <f t="shared" ca="1" si="13"/>
        <v>35.995677690824536</v>
      </c>
      <c r="J39" s="306">
        <f t="shared" ca="1" si="14"/>
        <v>0.51419342181869698</v>
      </c>
      <c r="K39" s="307">
        <f t="shared" ca="1" si="15"/>
        <v>5.8647755085918361</v>
      </c>
      <c r="L39" s="304">
        <f t="shared" ca="1" si="0"/>
        <v>5.8872732772668401</v>
      </c>
      <c r="M39" s="306">
        <f t="shared" ca="1" si="16"/>
        <v>1.4822611310202438</v>
      </c>
      <c r="N39" s="304">
        <f t="shared" ca="1" si="17"/>
        <v>84.927306943747922</v>
      </c>
      <c r="P39" s="310">
        <f t="shared" ca="1" si="18"/>
        <v>2</v>
      </c>
      <c r="Q39" s="304">
        <f t="shared" ca="1" si="19"/>
        <v>830.72222222222217</v>
      </c>
      <c r="R39" s="306">
        <f t="shared" ca="1" si="20"/>
        <v>0.41690077855563162</v>
      </c>
      <c r="S39" s="307">
        <f t="shared" ca="1" si="21"/>
        <v>7.0441172019607752</v>
      </c>
      <c r="T39" s="304">
        <f t="shared" ca="1" si="1"/>
        <v>69.102789751235207</v>
      </c>
      <c r="U39" s="311">
        <f t="shared" ca="1" si="2"/>
        <v>0</v>
      </c>
      <c r="V39" s="306">
        <f t="shared" ca="1" si="3"/>
        <v>1.2242817756114377</v>
      </c>
      <c r="W39" s="304">
        <f t="shared" ca="1" si="4"/>
        <v>3.7032387115749894</v>
      </c>
      <c r="Y39" s="314" t="str">
        <f t="shared" ca="1" si="22"/>
        <v/>
      </c>
      <c r="Z39" s="315" t="str">
        <f t="shared" ca="1" si="23"/>
        <v/>
      </c>
      <c r="AA39" s="316" t="str">
        <f t="shared" ca="1" si="24"/>
        <v/>
      </c>
      <c r="AC39" s="310" t="e">
        <f t="shared" ca="1" si="25"/>
        <v>#N/A</v>
      </c>
      <c r="AD39" s="323" t="e">
        <f t="shared" ca="1" si="26"/>
        <v>#N/A</v>
      </c>
      <c r="AE39" s="324">
        <f t="shared" ca="1" si="5"/>
        <v>5.8647755085918361</v>
      </c>
      <c r="AG39" s="306">
        <f t="shared" ca="1" si="27"/>
        <v>107.66480093776177</v>
      </c>
      <c r="AH39" s="304">
        <f t="shared" ca="1" si="28"/>
        <v>117.43658646711127</v>
      </c>
    </row>
    <row r="40" spans="1:34" x14ac:dyDescent="0.2">
      <c r="A40" s="347">
        <f t="shared" ca="1" si="6"/>
        <v>0.01</v>
      </c>
      <c r="B40" s="304">
        <f t="shared" ca="1" si="7"/>
        <v>0.36000000000000015</v>
      </c>
      <c r="D40" s="306">
        <f t="shared" ca="1" si="8"/>
        <v>10.36057280468042</v>
      </c>
      <c r="E40" s="307">
        <f t="shared" ca="1" si="9"/>
        <v>106.90616212816676</v>
      </c>
      <c r="F40" s="304">
        <f t="shared" ca="1" si="10"/>
        <v>107.40702476940211</v>
      </c>
      <c r="G40" s="306">
        <f t="shared" ca="1" si="11"/>
        <v>3.2863283421651373</v>
      </c>
      <c r="H40" s="307">
        <f t="shared" ca="1" si="12"/>
        <v>36.923755723774065</v>
      </c>
      <c r="I40" s="304">
        <f t="shared" ca="1" si="13"/>
        <v>37.06971392823872</v>
      </c>
      <c r="J40" s="306">
        <f t="shared" ca="1" si="14"/>
        <v>0.54653867660011435</v>
      </c>
      <c r="K40" s="307">
        <f t="shared" ca="1" si="15"/>
        <v>6.2286677577231684</v>
      </c>
      <c r="L40" s="304">
        <f t="shared" ca="1" si="0"/>
        <v>6.2525999840962134</v>
      </c>
      <c r="M40" s="306">
        <f t="shared" ca="1" si="16"/>
        <v>1.4820271405273293</v>
      </c>
      <c r="N40" s="304">
        <f t="shared" ca="1" si="17"/>
        <v>84.913900276057731</v>
      </c>
      <c r="P40" s="310">
        <f t="shared" ca="1" si="18"/>
        <v>2</v>
      </c>
      <c r="Q40" s="304">
        <f t="shared" ca="1" si="19"/>
        <v>828.61111111111109</v>
      </c>
      <c r="R40" s="306">
        <f t="shared" ca="1" si="20"/>
        <v>0.41584131024926407</v>
      </c>
      <c r="S40" s="307">
        <f t="shared" ca="1" si="21"/>
        <v>7.0399587888582822</v>
      </c>
      <c r="T40" s="304">
        <f t="shared" ca="1" si="1"/>
        <v>69.061995718699748</v>
      </c>
      <c r="U40" s="311">
        <f t="shared" ca="1" si="2"/>
        <v>0</v>
      </c>
      <c r="V40" s="306">
        <f t="shared" ca="1" si="3"/>
        <v>1.2242372257530467</v>
      </c>
      <c r="W40" s="304">
        <f t="shared" ca="1" si="4"/>
        <v>3.9273866923569312</v>
      </c>
      <c r="Y40" s="314" t="str">
        <f t="shared" ca="1" si="22"/>
        <v/>
      </c>
      <c r="Z40" s="315" t="str">
        <f t="shared" ca="1" si="23"/>
        <v/>
      </c>
      <c r="AA40" s="316" t="str">
        <f t="shared" ca="1" si="24"/>
        <v/>
      </c>
      <c r="AC40" s="310" t="e">
        <f t="shared" ca="1" si="25"/>
        <v>#N/A</v>
      </c>
      <c r="AD40" s="323" t="e">
        <f t="shared" ca="1" si="26"/>
        <v>#N/A</v>
      </c>
      <c r="AE40" s="324">
        <f t="shared" ca="1" si="5"/>
        <v>6.2286677577231684</v>
      </c>
      <c r="AG40" s="306">
        <f t="shared" ca="1" si="27"/>
        <v>107.40352226020262</v>
      </c>
      <c r="AH40" s="304">
        <f t="shared" ca="1" si="28"/>
        <v>117.17509961920062</v>
      </c>
    </row>
    <row r="41" spans="1:34" x14ac:dyDescent="0.2">
      <c r="A41" s="347">
        <f t="shared" ca="1" si="6"/>
        <v>0.01</v>
      </c>
      <c r="B41" s="304">
        <f t="shared" ca="1" si="7"/>
        <v>0.37000000000000016</v>
      </c>
      <c r="D41" s="306">
        <f t="shared" ca="1" si="8"/>
        <v>10.36458221752512</v>
      </c>
      <c r="E41" s="307">
        <f t="shared" ca="1" si="9"/>
        <v>106.64193727865181</v>
      </c>
      <c r="F41" s="304">
        <f t="shared" ca="1" si="10"/>
        <v>107.14442286506444</v>
      </c>
      <c r="G41" s="306">
        <f t="shared" ca="1" si="11"/>
        <v>3.3899741643403885</v>
      </c>
      <c r="H41" s="307">
        <f t="shared" ca="1" si="12"/>
        <v>37.990175096560584</v>
      </c>
      <c r="I41" s="304">
        <f t="shared" ca="1" si="13"/>
        <v>38.141123852113054</v>
      </c>
      <c r="J41" s="306">
        <f t="shared" ca="1" si="14"/>
        <v>0.57992018913264198</v>
      </c>
      <c r="K41" s="307">
        <f t="shared" ca="1" si="15"/>
        <v>6.6032374118248418</v>
      </c>
      <c r="L41" s="304">
        <f t="shared" ca="1" si="0"/>
        <v>6.6286538409157316</v>
      </c>
      <c r="M41" s="306">
        <f t="shared" ca="1" si="16"/>
        <v>1.481799123519006</v>
      </c>
      <c r="N41" s="304">
        <f t="shared" ca="1" si="17"/>
        <v>84.900835863823602</v>
      </c>
      <c r="P41" s="310">
        <f t="shared" ca="1" si="18"/>
        <v>2</v>
      </c>
      <c r="Q41" s="304">
        <f t="shared" ca="1" si="19"/>
        <v>826.5</v>
      </c>
      <c r="R41" s="306">
        <f t="shared" ca="1" si="20"/>
        <v>0.41478184194289652</v>
      </c>
      <c r="S41" s="307">
        <f t="shared" ca="1" si="21"/>
        <v>7.0358109704388534</v>
      </c>
      <c r="T41" s="304">
        <f t="shared" ca="1" si="1"/>
        <v>69.021305620005151</v>
      </c>
      <c r="U41" s="311">
        <f t="shared" ca="1" si="2"/>
        <v>0</v>
      </c>
      <c r="V41" s="306">
        <f t="shared" ca="1" si="3"/>
        <v>1.2241913703957144</v>
      </c>
      <c r="W41" s="304">
        <f t="shared" ca="1" si="4"/>
        <v>4.1575348574683648</v>
      </c>
      <c r="Y41" s="314" t="str">
        <f t="shared" ca="1" si="22"/>
        <v/>
      </c>
      <c r="Z41" s="315" t="str">
        <f t="shared" ca="1" si="23"/>
        <v/>
      </c>
      <c r="AA41" s="316" t="str">
        <f t="shared" ca="1" si="24"/>
        <v/>
      </c>
      <c r="AC41" s="310" t="e">
        <f t="shared" ca="1" si="25"/>
        <v>#N/A</v>
      </c>
      <c r="AD41" s="323" t="e">
        <f t="shared" ca="1" si="26"/>
        <v>#N/A</v>
      </c>
      <c r="AE41" s="324">
        <f t="shared" ca="1" si="5"/>
        <v>6.6032374118248418</v>
      </c>
      <c r="AG41" s="306">
        <f t="shared" ca="1" si="27"/>
        <v>107.1408932362331</v>
      </c>
      <c r="AH41" s="304">
        <f t="shared" ca="1" si="28"/>
        <v>116.91226736529786</v>
      </c>
    </row>
    <row r="42" spans="1:34" x14ac:dyDescent="0.2">
      <c r="A42" s="347">
        <f t="shared" ca="1" si="6"/>
        <v>0.01</v>
      </c>
      <c r="B42" s="304">
        <f t="shared" ca="1" si="7"/>
        <v>0.38000000000000017</v>
      </c>
      <c r="D42" s="306">
        <f t="shared" ca="1" si="8"/>
        <v>10.367655478356498</v>
      </c>
      <c r="E42" s="307">
        <f t="shared" ca="1" si="9"/>
        <v>106.37644504926975</v>
      </c>
      <c r="F42" s="304">
        <f t="shared" ca="1" si="10"/>
        <v>106.88047689563423</v>
      </c>
      <c r="G42" s="306">
        <f t="shared" ca="1" si="11"/>
        <v>3.4936507191239534</v>
      </c>
      <c r="H42" s="307">
        <f t="shared" ca="1" si="12"/>
        <v>39.053939547053282</v>
      </c>
      <c r="I42" s="304">
        <f t="shared" ca="1" si="13"/>
        <v>39.20989402551514</v>
      </c>
      <c r="J42" s="306">
        <f t="shared" ca="1" si="14"/>
        <v>0.61433831354996371</v>
      </c>
      <c r="K42" s="307">
        <f t="shared" ca="1" si="15"/>
        <v>6.9884579850429116</v>
      </c>
      <c r="L42" s="304">
        <f t="shared" ca="1" si="0"/>
        <v>7.0154085107145008</v>
      </c>
      <c r="M42" s="306">
        <f t="shared" ca="1" si="16"/>
        <v>1.4815767534938702</v>
      </c>
      <c r="N42" s="304">
        <f t="shared" ca="1" si="17"/>
        <v>84.888094999893113</v>
      </c>
      <c r="P42" s="310">
        <f t="shared" ca="1" si="18"/>
        <v>2</v>
      </c>
      <c r="Q42" s="304">
        <f t="shared" ca="1" si="19"/>
        <v>824.38888888888891</v>
      </c>
      <c r="R42" s="306">
        <f t="shared" ca="1" si="20"/>
        <v>0.41372237363652897</v>
      </c>
      <c r="S42" s="307">
        <f t="shared" ca="1" si="21"/>
        <v>7.0316737467024879</v>
      </c>
      <c r="T42" s="304">
        <f t="shared" ca="1" si="1"/>
        <v>68.980719455151416</v>
      </c>
      <c r="U42" s="311">
        <f t="shared" ca="1" si="2"/>
        <v>0</v>
      </c>
      <c r="V42" s="306">
        <f t="shared" ca="1" si="3"/>
        <v>1.2241442129284319</v>
      </c>
      <c r="W42" s="304">
        <f t="shared" ca="1" si="4"/>
        <v>4.3936305456740561</v>
      </c>
      <c r="Y42" s="314" t="str">
        <f t="shared" ca="1" si="22"/>
        <v/>
      </c>
      <c r="Z42" s="315" t="str">
        <f t="shared" ca="1" si="23"/>
        <v/>
      </c>
      <c r="AA42" s="316" t="str">
        <f t="shared" ca="1" si="24"/>
        <v/>
      </c>
      <c r="AC42" s="310" t="e">
        <f t="shared" ca="1" si="25"/>
        <v>#N/A</v>
      </c>
      <c r="AD42" s="323" t="e">
        <f t="shared" ca="1" si="26"/>
        <v>#N/A</v>
      </c>
      <c r="AE42" s="324">
        <f t="shared" ca="1" si="5"/>
        <v>6.9884579850429116</v>
      </c>
      <c r="AG42" s="306">
        <f t="shared" ca="1" si="27"/>
        <v>106.87692039682746</v>
      </c>
      <c r="AH42" s="304">
        <f t="shared" ca="1" si="28"/>
        <v>116.6480959694794</v>
      </c>
    </row>
    <row r="43" spans="1:34" x14ac:dyDescent="0.2">
      <c r="A43" s="347">
        <f t="shared" ca="1" si="6"/>
        <v>0.01</v>
      </c>
      <c r="B43" s="304">
        <f t="shared" ca="1" si="7"/>
        <v>0.39000000000000018</v>
      </c>
      <c r="D43" s="306">
        <f t="shared" ca="1" si="8"/>
        <v>10.36983484611395</v>
      </c>
      <c r="E43" s="307">
        <f t="shared" ca="1" si="9"/>
        <v>106.10968852988589</v>
      </c>
      <c r="F43" s="304">
        <f t="shared" ca="1" si="10"/>
        <v>106.61519345123881</v>
      </c>
      <c r="G43" s="306">
        <f t="shared" ca="1" si="11"/>
        <v>3.597349067585093</v>
      </c>
      <c r="H43" s="307">
        <f t="shared" ca="1" si="12"/>
        <v>40.115036432352142</v>
      </c>
      <c r="I43" s="304">
        <f t="shared" ca="1" si="13"/>
        <v>40.276011077103888</v>
      </c>
      <c r="J43" s="306">
        <f t="shared" ca="1" si="14"/>
        <v>0.64979331248350891</v>
      </c>
      <c r="K43" s="307">
        <f t="shared" ca="1" si="15"/>
        <v>7.3843028649399383</v>
      </c>
      <c r="L43" s="304">
        <f t="shared" ca="1" si="0"/>
        <v>7.4128375235201585</v>
      </c>
      <c r="M43" s="306">
        <f t="shared" ca="1" si="16"/>
        <v>1.4813597301881145</v>
      </c>
      <c r="N43" s="304">
        <f t="shared" ca="1" si="17"/>
        <v>84.875660480417324</v>
      </c>
      <c r="P43" s="310">
        <f t="shared" ca="1" si="18"/>
        <v>2</v>
      </c>
      <c r="Q43" s="304">
        <f t="shared" ca="1" si="19"/>
        <v>822.27777777777771</v>
      </c>
      <c r="R43" s="306">
        <f t="shared" ca="1" si="20"/>
        <v>0.41266290533016137</v>
      </c>
      <c r="S43" s="307">
        <f t="shared" ca="1" si="21"/>
        <v>7.0275471176491866</v>
      </c>
      <c r="T43" s="304">
        <f t="shared" ca="1" si="1"/>
        <v>68.940237224138528</v>
      </c>
      <c r="U43" s="311">
        <f t="shared" ca="1" si="2"/>
        <v>0</v>
      </c>
      <c r="V43" s="306">
        <f t="shared" ca="1" si="3"/>
        <v>1.2240957567593427</v>
      </c>
      <c r="W43" s="304">
        <f t="shared" ca="1" si="4"/>
        <v>4.6356208739453768</v>
      </c>
      <c r="Y43" s="314" t="str">
        <f t="shared" ca="1" si="22"/>
        <v/>
      </c>
      <c r="Z43" s="315" t="str">
        <f t="shared" ca="1" si="23"/>
        <v/>
      </c>
      <c r="AA43" s="316" t="str">
        <f t="shared" ca="1" si="24"/>
        <v/>
      </c>
      <c r="AC43" s="310" t="e">
        <f t="shared" ca="1" si="25"/>
        <v>#N/A</v>
      </c>
      <c r="AD43" s="323" t="e">
        <f t="shared" ca="1" si="26"/>
        <v>#N/A</v>
      </c>
      <c r="AE43" s="324">
        <f t="shared" ca="1" si="5"/>
        <v>7.3843028649399383</v>
      </c>
      <c r="AG43" s="306">
        <f t="shared" ca="1" si="27"/>
        <v>106.6116103106509</v>
      </c>
      <c r="AH43" s="304">
        <f t="shared" ca="1" si="28"/>
        <v>116.38259175495894</v>
      </c>
    </row>
    <row r="44" spans="1:34" x14ac:dyDescent="0.2">
      <c r="A44" s="347">
        <f t="shared" ca="1" si="6"/>
        <v>0.01</v>
      </c>
      <c r="B44" s="304">
        <f t="shared" ca="1" si="7"/>
        <v>0.40000000000000019</v>
      </c>
      <c r="D44" s="306">
        <f t="shared" ca="1" si="8"/>
        <v>10.371159252535048</v>
      </c>
      <c r="E44" s="307">
        <f t="shared" ca="1" si="9"/>
        <v>105.84167111804847</v>
      </c>
      <c r="F44" s="304">
        <f t="shared" ca="1" si="10"/>
        <v>106.34857915977335</v>
      </c>
      <c r="G44" s="306">
        <f t="shared" ca="1" si="11"/>
        <v>3.7010606601104437</v>
      </c>
      <c r="H44" s="307">
        <f t="shared" ca="1" si="12"/>
        <v>41.173453143532626</v>
      </c>
      <c r="I44" s="304">
        <f t="shared" ca="1" si="13"/>
        <v>41.339461701532763</v>
      </c>
      <c r="J44" s="306">
        <f t="shared" ca="1" si="14"/>
        <v>0.68628536112198657</v>
      </c>
      <c r="K44" s="307">
        <f t="shared" ca="1" si="15"/>
        <v>7.7907453128193618</v>
      </c>
      <c r="L44" s="304">
        <f t="shared" ca="1" si="0"/>
        <v>7.8209142768673274</v>
      </c>
      <c r="M44" s="306">
        <f t="shared" ca="1" si="16"/>
        <v>1.4811477768194958</v>
      </c>
      <c r="N44" s="304">
        <f t="shared" ca="1" si="17"/>
        <v>84.863516446941901</v>
      </c>
      <c r="P44" s="310">
        <f t="shared" ca="1" si="18"/>
        <v>2</v>
      </c>
      <c r="Q44" s="304">
        <f t="shared" ca="1" si="19"/>
        <v>820.16666666666663</v>
      </c>
      <c r="R44" s="306">
        <f t="shared" ca="1" si="20"/>
        <v>0.41160343702379387</v>
      </c>
      <c r="S44" s="307">
        <f t="shared" ca="1" si="21"/>
        <v>7.0234310832789486</v>
      </c>
      <c r="T44" s="304">
        <f t="shared" ca="1" si="1"/>
        <v>68.899858926966488</v>
      </c>
      <c r="U44" s="311">
        <f t="shared" ca="1" si="2"/>
        <v>0</v>
      </c>
      <c r="V44" s="306">
        <f t="shared" ca="1" si="3"/>
        <v>1.2240460053156603</v>
      </c>
      <c r="W44" s="304">
        <f t="shared" ca="1" si="4"/>
        <v>4.8834527423487639</v>
      </c>
      <c r="Y44" s="314" t="str">
        <f t="shared" ca="1" si="22"/>
        <v/>
      </c>
      <c r="Z44" s="315" t="str">
        <f t="shared" ca="1" si="23"/>
        <v/>
      </c>
      <c r="AA44" s="316" t="str">
        <f t="shared" ca="1" si="24"/>
        <v/>
      </c>
      <c r="AC44" s="310" t="e">
        <f t="shared" ca="1" si="25"/>
        <v>#N/A</v>
      </c>
      <c r="AD44" s="323" t="e">
        <f t="shared" ca="1" si="26"/>
        <v>#N/A</v>
      </c>
      <c r="AE44" s="324">
        <f t="shared" ca="1" si="5"/>
        <v>7.7907453128193618</v>
      </c>
      <c r="AG44" s="306">
        <f t="shared" ca="1" si="27"/>
        <v>106.34496958571246</v>
      </c>
      <c r="AH44" s="304">
        <f t="shared" ca="1" si="28"/>
        <v>116.11576110347247</v>
      </c>
    </row>
    <row r="45" spans="1:34" x14ac:dyDescent="0.2">
      <c r="A45" s="347">
        <f t="shared" ca="1" si="6"/>
        <v>0.01</v>
      </c>
      <c r="B45" s="304">
        <f t="shared" ca="1" si="7"/>
        <v>0.4100000000000002</v>
      </c>
      <c r="D45" s="306">
        <f t="shared" ca="1" si="8"/>
        <v>10.371664651009091</v>
      </c>
      <c r="E45" s="307">
        <f t="shared" ca="1" si="9"/>
        <v>105.57239649279714</v>
      </c>
      <c r="F45" s="304">
        <f t="shared" ca="1" si="10"/>
        <v>106.08064068841853</v>
      </c>
      <c r="G45" s="306">
        <f t="shared" ca="1" si="11"/>
        <v>3.8047773066205344</v>
      </c>
      <c r="H45" s="307">
        <f t="shared" ca="1" si="12"/>
        <v>42.229177108460597</v>
      </c>
      <c r="I45" s="304">
        <f t="shared" ca="1" si="13"/>
        <v>42.400232659865289</v>
      </c>
      <c r="J45" s="306">
        <f t="shared" ca="1" si="14"/>
        <v>0.72381455095564151</v>
      </c>
      <c r="K45" s="307">
        <f t="shared" ca="1" si="15"/>
        <v>8.207758464079328</v>
      </c>
      <c r="L45" s="304">
        <f t="shared" ca="1" si="0"/>
        <v>8.2396120363061378</v>
      </c>
      <c r="M45" s="306">
        <f t="shared" ca="1" si="16"/>
        <v>1.4809406376852139</v>
      </c>
      <c r="N45" s="304">
        <f t="shared" ca="1" si="17"/>
        <v>84.851648248775547</v>
      </c>
      <c r="P45" s="310">
        <f t="shared" ca="1" si="18"/>
        <v>2</v>
      </c>
      <c r="Q45" s="304">
        <f t="shared" ca="1" si="19"/>
        <v>818.05555555555554</v>
      </c>
      <c r="R45" s="306">
        <f t="shared" ca="1" si="20"/>
        <v>0.41054396871742632</v>
      </c>
      <c r="S45" s="307">
        <f t="shared" ca="1" si="21"/>
        <v>7.0193256435917739</v>
      </c>
      <c r="T45" s="304">
        <f t="shared" ca="1" si="1"/>
        <v>68.859584563635309</v>
      </c>
      <c r="U45" s="311">
        <f t="shared" ca="1" si="2"/>
        <v>0</v>
      </c>
      <c r="V45" s="306">
        <f t="shared" ca="1" si="3"/>
        <v>1.2239949620435899</v>
      </c>
      <c r="W45" s="304">
        <f t="shared" ca="1" si="4"/>
        <v>5.1370728389475575</v>
      </c>
      <c r="Y45" s="314" t="str">
        <f t="shared" ca="1" si="22"/>
        <v/>
      </c>
      <c r="Z45" s="315" t="str">
        <f t="shared" ca="1" si="23"/>
        <v/>
      </c>
      <c r="AA45" s="316" t="str">
        <f t="shared" ca="1" si="24"/>
        <v/>
      </c>
      <c r="AC45" s="310" t="e">
        <f t="shared" ca="1" si="25"/>
        <v>#N/A</v>
      </c>
      <c r="AD45" s="323" t="e">
        <f t="shared" ca="1" si="26"/>
        <v>#N/A</v>
      </c>
      <c r="AE45" s="324">
        <f t="shared" ca="1" si="5"/>
        <v>8.207758464079328</v>
      </c>
      <c r="AG45" s="306">
        <f t="shared" ca="1" si="27"/>
        <v>106.07700487071772</v>
      </c>
      <c r="AH45" s="304">
        <f t="shared" ca="1" si="28"/>
        <v>115.84761045465736</v>
      </c>
    </row>
    <row r="46" spans="1:34" x14ac:dyDescent="0.2">
      <c r="A46" s="347">
        <f t="shared" ca="1" si="6"/>
        <v>0.01</v>
      </c>
      <c r="B46" s="304">
        <f t="shared" ca="1" si="7"/>
        <v>0.42000000000000021</v>
      </c>
      <c r="D46" s="306">
        <f t="shared" ca="1" si="8"/>
        <v>10.371384320737597</v>
      </c>
      <c r="E46" s="307">
        <f t="shared" ca="1" si="9"/>
        <v>105.30186859168806</v>
      </c>
      <c r="F46" s="304">
        <f t="shared" ca="1" si="10"/>
        <v>105.81138474488264</v>
      </c>
      <c r="G46" s="306">
        <f t="shared" ca="1" si="11"/>
        <v>3.9084911498279102</v>
      </c>
      <c r="H46" s="307">
        <f t="shared" ca="1" si="12"/>
        <v>43.282195794377479</v>
      </c>
      <c r="I46" s="304">
        <f t="shared" ca="1" si="13"/>
        <v>43.458310780000531</v>
      </c>
      <c r="J46" s="306">
        <f t="shared" ca="1" si="14"/>
        <v>0.76238089323788372</v>
      </c>
      <c r="K46" s="307">
        <f t="shared" ca="1" si="15"/>
        <v>8.6353153285935189</v>
      </c>
      <c r="L46" s="304">
        <f t="shared" ca="1" si="0"/>
        <v>8.6689039359434812</v>
      </c>
      <c r="M46" s="306">
        <f t="shared" ca="1" si="16"/>
        <v>1.4807380760604021</v>
      </c>
      <c r="N46" s="304">
        <f t="shared" ca="1" si="17"/>
        <v>84.840042322582519</v>
      </c>
      <c r="P46" s="310">
        <f t="shared" ca="1" si="18"/>
        <v>2</v>
      </c>
      <c r="Q46" s="304">
        <f t="shared" ca="1" si="19"/>
        <v>815.94444444444434</v>
      </c>
      <c r="R46" s="306">
        <f t="shared" ca="1" si="20"/>
        <v>0.40948450041105872</v>
      </c>
      <c r="S46" s="307">
        <f t="shared" ca="1" si="21"/>
        <v>7.0152307985876634</v>
      </c>
      <c r="T46" s="304">
        <f t="shared" ca="1" si="1"/>
        <v>68.819414134144978</v>
      </c>
      <c r="U46" s="311">
        <f t="shared" ca="1" si="2"/>
        <v>0</v>
      </c>
      <c r="V46" s="306">
        <f t="shared" ca="1" si="3"/>
        <v>1.2239426304082397</v>
      </c>
      <c r="W46" s="304">
        <f t="shared" ca="1" si="4"/>
        <v>5.3964276447166561</v>
      </c>
      <c r="Y46" s="314" t="str">
        <f t="shared" ca="1" si="22"/>
        <v/>
      </c>
      <c r="Z46" s="315" t="str">
        <f t="shared" ca="1" si="23"/>
        <v/>
      </c>
      <c r="AA46" s="316" t="str">
        <f t="shared" ca="1" si="24"/>
        <v/>
      </c>
      <c r="AC46" s="310" t="e">
        <f t="shared" ca="1" si="25"/>
        <v>#N/A</v>
      </c>
      <c r="AD46" s="323" t="e">
        <f t="shared" ca="1" si="26"/>
        <v>#N/A</v>
      </c>
      <c r="AE46" s="324">
        <f t="shared" ca="1" si="5"/>
        <v>8.6353153285935189</v>
      </c>
      <c r="AG46" s="306">
        <f t="shared" ca="1" si="27"/>
        <v>105.80772285616688</v>
      </c>
      <c r="AH46" s="304">
        <f t="shared" ca="1" si="28"/>
        <v>115.57814630542619</v>
      </c>
    </row>
    <row r="47" spans="1:34" x14ac:dyDescent="0.2">
      <c r="A47" s="347">
        <f t="shared" ca="1" si="6"/>
        <v>0.01</v>
      </c>
      <c r="B47" s="304">
        <f t="shared" ca="1" si="7"/>
        <v>0.43000000000000022</v>
      </c>
      <c r="D47" s="306">
        <f t="shared" ca="1" si="8"/>
        <v>10.370349132920637</v>
      </c>
      <c r="E47" s="307">
        <f t="shared" ca="1" si="9"/>
        <v>105.03009159055831</v>
      </c>
      <c r="F47" s="304">
        <f t="shared" ca="1" si="10"/>
        <v>105.54081807840859</v>
      </c>
      <c r="G47" s="306">
        <f t="shared" ca="1" si="11"/>
        <v>4.0121946411571168</v>
      </c>
      <c r="H47" s="307">
        <f t="shared" ca="1" si="12"/>
        <v>44.33249671028306</v>
      </c>
      <c r="I47" s="304">
        <f t="shared" ca="1" si="13"/>
        <v>44.51368295710644</v>
      </c>
      <c r="J47" s="306">
        <f t="shared" ca="1" si="14"/>
        <v>0.80198432219280891</v>
      </c>
      <c r="K47" s="307">
        <f t="shared" ca="1" si="15"/>
        <v>9.0733887911168214</v>
      </c>
      <c r="L47" s="304">
        <f t="shared" ca="1" si="0"/>
        <v>9.1087629790113329</v>
      </c>
      <c r="M47" s="306">
        <f t="shared" ca="1" si="16"/>
        <v>1.4805398723530836</v>
      </c>
      <c r="N47" s="304">
        <f t="shared" ca="1" si="17"/>
        <v>84.828686086669322</v>
      </c>
      <c r="P47" s="310">
        <f t="shared" ca="1" si="18"/>
        <v>2</v>
      </c>
      <c r="Q47" s="304">
        <f t="shared" ca="1" si="19"/>
        <v>813.83333333333326</v>
      </c>
      <c r="R47" s="306">
        <f t="shared" ca="1" si="20"/>
        <v>0.40842503210469117</v>
      </c>
      <c r="S47" s="307">
        <f t="shared" ca="1" si="21"/>
        <v>7.0111465482666162</v>
      </c>
      <c r="T47" s="304">
        <f t="shared" ca="1" si="1"/>
        <v>68.779347638495508</v>
      </c>
      <c r="U47" s="311">
        <f t="shared" ca="1" si="2"/>
        <v>0</v>
      </c>
      <c r="V47" s="306">
        <f t="shared" ca="1" si="3"/>
        <v>1.2238890138935328</v>
      </c>
      <c r="W47" s="304">
        <f t="shared" ca="1" si="4"/>
        <v>5.6614634384694211</v>
      </c>
      <c r="Y47" s="314" t="str">
        <f t="shared" ca="1" si="22"/>
        <v/>
      </c>
      <c r="Z47" s="315" t="str">
        <f t="shared" ca="1" si="23"/>
        <v/>
      </c>
      <c r="AA47" s="316" t="str">
        <f t="shared" ca="1" si="24"/>
        <v/>
      </c>
      <c r="AC47" s="310" t="e">
        <f t="shared" ca="1" si="25"/>
        <v>#N/A</v>
      </c>
      <c r="AD47" s="323" t="e">
        <f t="shared" ca="1" si="26"/>
        <v>#N/A</v>
      </c>
      <c r="AE47" s="324">
        <f t="shared" ca="1" si="5"/>
        <v>9.0733887911168214</v>
      </c>
      <c r="AG47" s="306">
        <f t="shared" ca="1" si="27"/>
        <v>105.53713027523555</v>
      </c>
      <c r="AH47" s="304">
        <f t="shared" ca="1" si="28"/>
        <v>115.30737520933555</v>
      </c>
    </row>
    <row r="48" spans="1:34" x14ac:dyDescent="0.2">
      <c r="A48" s="347">
        <f t="shared" ca="1" si="6"/>
        <v>0.01</v>
      </c>
      <c r="B48" s="304">
        <f t="shared" ca="1" si="7"/>
        <v>0.44000000000000022</v>
      </c>
      <c r="D48" s="306">
        <f t="shared" ca="1" si="8"/>
        <v>10.368587784535599</v>
      </c>
      <c r="E48" s="307">
        <f t="shared" ca="1" si="9"/>
        <v>104.75706988563185</v>
      </c>
      <c r="F48" s="304">
        <f t="shared" ca="1" si="10"/>
        <v>105.2689474805784</v>
      </c>
      <c r="G48" s="306">
        <f t="shared" ca="1" si="11"/>
        <v>4.1158805190024728</v>
      </c>
      <c r="H48" s="307">
        <f t="shared" ca="1" si="12"/>
        <v>45.380067409139379</v>
      </c>
      <c r="I48" s="304">
        <f t="shared" ca="1" si="13"/>
        <v>45.566336154059371</v>
      </c>
      <c r="J48" s="306">
        <f t="shared" ca="1" si="14"/>
        <v>0.84262469799360684</v>
      </c>
      <c r="K48" s="307">
        <f t="shared" ca="1" si="15"/>
        <v>9.5219516117139342</v>
      </c>
      <c r="L48" s="304">
        <f t="shared" ca="1" si="0"/>
        <v>9.5591620384576803</v>
      </c>
      <c r="M48" s="306">
        <f t="shared" ca="1" si="16"/>
        <v>1.4803458224788395</v>
      </c>
      <c r="N48" s="304">
        <f t="shared" ca="1" si="17"/>
        <v>84.81756784786009</v>
      </c>
      <c r="P48" s="310">
        <f t="shared" ca="1" si="18"/>
        <v>2</v>
      </c>
      <c r="Q48" s="304">
        <f t="shared" ca="1" si="19"/>
        <v>811.72222222222217</v>
      </c>
      <c r="R48" s="306">
        <f t="shared" ca="1" si="20"/>
        <v>0.40736556379832362</v>
      </c>
      <c r="S48" s="307">
        <f t="shared" ca="1" si="21"/>
        <v>7.0070728926286332</v>
      </c>
      <c r="T48" s="304">
        <f t="shared" ca="1" si="1"/>
        <v>68.739385076686901</v>
      </c>
      <c r="U48" s="311">
        <f t="shared" ca="1" si="2"/>
        <v>0</v>
      </c>
      <c r="V48" s="306">
        <f t="shared" ca="1" si="3"/>
        <v>1.2238341160021158</v>
      </c>
      <c r="W48" s="304">
        <f t="shared" ca="1" si="4"/>
        <v>5.9321263017962895</v>
      </c>
      <c r="Y48" s="314" t="str">
        <f t="shared" ca="1" si="22"/>
        <v/>
      </c>
      <c r="Z48" s="315" t="str">
        <f t="shared" ca="1" si="23"/>
        <v/>
      </c>
      <c r="AA48" s="316" t="str">
        <f t="shared" ca="1" si="24"/>
        <v/>
      </c>
      <c r="AC48" s="310" t="e">
        <f t="shared" ca="1" si="25"/>
        <v>#N/A</v>
      </c>
      <c r="AD48" s="323" t="e">
        <f t="shared" ca="1" si="26"/>
        <v>#N/A</v>
      </c>
      <c r="AE48" s="324">
        <f t="shared" ca="1" si="5"/>
        <v>9.5219516117139342</v>
      </c>
      <c r="AG48" s="306">
        <f t="shared" ca="1" si="27"/>
        <v>105.26523390446816</v>
      </c>
      <c r="AH48" s="304">
        <f t="shared" ca="1" si="28"/>
        <v>115.03530377594903</v>
      </c>
    </row>
    <row r="49" spans="1:34" x14ac:dyDescent="0.2">
      <c r="A49" s="347">
        <f t="shared" ca="1" si="6"/>
        <v>0.01</v>
      </c>
      <c r="B49" s="304">
        <f t="shared" ca="1" si="7"/>
        <v>0.45000000000000023</v>
      </c>
      <c r="D49" s="306">
        <f t="shared" ca="1" si="8"/>
        <v>10.366127004344062</v>
      </c>
      <c r="E49" s="307">
        <f t="shared" ca="1" si="9"/>
        <v>104.4828080776368</v>
      </c>
      <c r="F49" s="304">
        <f t="shared" ca="1" si="10"/>
        <v>104.99577978594414</v>
      </c>
      <c r="G49" s="306">
        <f t="shared" ca="1" si="11"/>
        <v>4.2195417890459135</v>
      </c>
      <c r="H49" s="307">
        <f t="shared" ca="1" si="12"/>
        <v>46.424895489915748</v>
      </c>
      <c r="I49" s="304">
        <f t="shared" ca="1" si="13"/>
        <v>46.616257401888291</v>
      </c>
      <c r="J49" s="306">
        <f t="shared" ca="1" si="14"/>
        <v>0.88430180953384874</v>
      </c>
      <c r="K49" s="307">
        <f t="shared" ca="1" si="15"/>
        <v>9.9809764262092102</v>
      </c>
      <c r="L49" s="304">
        <f t="shared" ca="1" si="0"/>
        <v>10.02007385755658</v>
      </c>
      <c r="M49" s="306">
        <f t="shared" ca="1" si="16"/>
        <v>1.4801557364244478</v>
      </c>
      <c r="N49" s="304">
        <f t="shared" ca="1" si="17"/>
        <v>84.806676719199146</v>
      </c>
      <c r="P49" s="310">
        <f t="shared" ca="1" si="18"/>
        <v>2</v>
      </c>
      <c r="Q49" s="304">
        <f t="shared" ca="1" si="19"/>
        <v>809.61111111111109</v>
      </c>
      <c r="R49" s="306">
        <f t="shared" ca="1" si="20"/>
        <v>0.40630609549195612</v>
      </c>
      <c r="S49" s="307">
        <f t="shared" ca="1" si="21"/>
        <v>7.0030098316737135</v>
      </c>
      <c r="T49" s="304">
        <f t="shared" ca="1" si="1"/>
        <v>68.699526448719126</v>
      </c>
      <c r="U49" s="311">
        <f t="shared" ca="1" si="2"/>
        <v>0</v>
      </c>
      <c r="V49" s="306">
        <f t="shared" ca="1" si="3"/>
        <v>1.2237779402552644</v>
      </c>
      <c r="W49" s="304">
        <f t="shared" ca="1" si="4"/>
        <v>6.2083621240144264</v>
      </c>
      <c r="Y49" s="314" t="str">
        <f t="shared" ca="1" si="22"/>
        <v/>
      </c>
      <c r="Z49" s="315" t="str">
        <f t="shared" ca="1" si="23"/>
        <v/>
      </c>
      <c r="AA49" s="316" t="str">
        <f t="shared" ca="1" si="24"/>
        <v/>
      </c>
      <c r="AC49" s="310" t="e">
        <f t="shared" ca="1" si="25"/>
        <v>#N/A</v>
      </c>
      <c r="AD49" s="323" t="e">
        <f t="shared" ca="1" si="26"/>
        <v>#N/A</v>
      </c>
      <c r="AE49" s="324">
        <f t="shared" ca="1" si="5"/>
        <v>9.9809764262092102</v>
      </c>
      <c r="AG49" s="306">
        <f t="shared" ca="1" si="27"/>
        <v>104.99204056431063</v>
      </c>
      <c r="AH49" s="304">
        <f t="shared" ca="1" si="28"/>
        <v>114.76193867019549</v>
      </c>
    </row>
    <row r="50" spans="1:34" x14ac:dyDescent="0.2">
      <c r="A50" s="347">
        <f t="shared" ca="1" si="6"/>
        <v>0.01</v>
      </c>
      <c r="B50" s="304">
        <f t="shared" ca="1" si="7"/>
        <v>0.46000000000000024</v>
      </c>
      <c r="D50" s="306">
        <f t="shared" ca="1" si="8"/>
        <v>10.362991735005073</v>
      </c>
      <c r="E50" s="307">
        <f t="shared" ca="1" si="9"/>
        <v>104.20731095765592</v>
      </c>
      <c r="F50" s="304">
        <f t="shared" ca="1" si="10"/>
        <v>104.72132187250779</v>
      </c>
      <c r="G50" s="306">
        <f t="shared" ca="1" si="11"/>
        <v>4.3231717063959643</v>
      </c>
      <c r="H50" s="307">
        <f t="shared" ca="1" si="12"/>
        <v>47.466968599492304</v>
      </c>
      <c r="I50" s="304">
        <f t="shared" ca="1" si="13"/>
        <v>47.663433800222272</v>
      </c>
      <c r="J50" s="306">
        <f t="shared" ca="1" si="14"/>
        <v>0.92701537701105807</v>
      </c>
      <c r="K50" s="307">
        <f t="shared" ca="1" si="15"/>
        <v>10.45043574665625</v>
      </c>
      <c r="L50" s="304">
        <f t="shared" ca="1" si="0"/>
        <v>10.491471050534608</v>
      </c>
      <c r="M50" s="306">
        <f t="shared" ca="1" si="16"/>
        <v>1.4799694369746663</v>
      </c>
      <c r="N50" s="304">
        <f t="shared" ca="1" si="17"/>
        <v>84.796002547001066</v>
      </c>
      <c r="P50" s="310">
        <f t="shared" ca="1" si="18"/>
        <v>2</v>
      </c>
      <c r="Q50" s="304">
        <f t="shared" ca="1" si="19"/>
        <v>807.5</v>
      </c>
      <c r="R50" s="306">
        <f t="shared" ca="1" si="20"/>
        <v>0.40524662718558857</v>
      </c>
      <c r="S50" s="307">
        <f t="shared" ca="1" si="21"/>
        <v>6.998957365401858</v>
      </c>
      <c r="T50" s="304">
        <f t="shared" ca="1" si="1"/>
        <v>68.659771754592228</v>
      </c>
      <c r="U50" s="311">
        <f t="shared" ca="1" si="2"/>
        <v>0</v>
      </c>
      <c r="V50" s="306">
        <f t="shared" ca="1" si="3"/>
        <v>1.2237204901927858</v>
      </c>
      <c r="W50" s="304">
        <f t="shared" ca="1" si="4"/>
        <v>6.4901166071278187</v>
      </c>
      <c r="Y50" s="314" t="str">
        <f t="shared" ca="1" si="22"/>
        <v/>
      </c>
      <c r="Z50" s="315" t="str">
        <f t="shared" ca="1" si="23"/>
        <v/>
      </c>
      <c r="AA50" s="316" t="str">
        <f t="shared" ca="1" si="24"/>
        <v/>
      </c>
      <c r="AC50" s="310" t="e">
        <f t="shared" ca="1" si="25"/>
        <v>#N/A</v>
      </c>
      <c r="AD50" s="323" t="e">
        <f t="shared" ca="1" si="26"/>
        <v>#N/A</v>
      </c>
      <c r="AE50" s="324">
        <f t="shared" ca="1" si="5"/>
        <v>10.45043574665625</v>
      </c>
      <c r="AG50" s="306">
        <f t="shared" ca="1" si="27"/>
        <v>104.71755711950361</v>
      </c>
      <c r="AH50" s="304">
        <f t="shared" ca="1" si="28"/>
        <v>114.48728661172204</v>
      </c>
    </row>
    <row r="51" spans="1:34" x14ac:dyDescent="0.2">
      <c r="A51" s="347">
        <f t="shared" ca="1" si="6"/>
        <v>0.01</v>
      </c>
      <c r="B51" s="304">
        <f t="shared" ca="1" si="7"/>
        <v>0.47000000000000025</v>
      </c>
      <c r="D51" s="306">
        <f t="shared" ca="1" si="8"/>
        <v>10.359205294554</v>
      </c>
      <c r="E51" s="307">
        <f t="shared" ca="1" si="9"/>
        <v>103.93058349447659</v>
      </c>
      <c r="F51" s="304">
        <f t="shared" ca="1" si="10"/>
        <v>104.44558066207055</v>
      </c>
      <c r="G51" s="306">
        <f t="shared" ca="1" si="11"/>
        <v>4.4267637593415046</v>
      </c>
      <c r="H51" s="307">
        <f t="shared" ca="1" si="12"/>
        <v>48.506274434437067</v>
      </c>
      <c r="I51" s="304">
        <f t="shared" ca="1" si="13"/>
        <v>48.707852517740328</v>
      </c>
      <c r="J51" s="306">
        <f t="shared" ca="1" si="14"/>
        <v>0.97076505433974547</v>
      </c>
      <c r="K51" s="307">
        <f t="shared" ca="1" si="15"/>
        <v>10.930301961825897</v>
      </c>
      <c r="L51" s="304">
        <f t="shared" ca="1" si="0"/>
        <v>10.973326103211473</v>
      </c>
      <c r="M51" s="306">
        <f t="shared" ca="1" si="16"/>
        <v>1.4797867585803635</v>
      </c>
      <c r="N51" s="304">
        <f t="shared" ca="1" si="17"/>
        <v>84.785535845999291</v>
      </c>
      <c r="P51" s="310">
        <f t="shared" ca="1" si="18"/>
        <v>2</v>
      </c>
      <c r="Q51" s="304">
        <f t="shared" ca="1" si="19"/>
        <v>805.3888888888888</v>
      </c>
      <c r="R51" s="306">
        <f t="shared" ca="1" si="20"/>
        <v>0.40418715887922096</v>
      </c>
      <c r="S51" s="307">
        <f t="shared" ca="1" si="21"/>
        <v>6.9949154938130658</v>
      </c>
      <c r="T51" s="304">
        <f t="shared" ca="1" si="1"/>
        <v>68.620120994306177</v>
      </c>
      <c r="U51" s="311">
        <f t="shared" ca="1" si="2"/>
        <v>0</v>
      </c>
      <c r="V51" s="306">
        <f t="shared" ca="1" si="3"/>
        <v>1.2236617693729188</v>
      </c>
      <c r="W51" s="304">
        <f t="shared" ca="1" si="4"/>
        <v>6.7773352707971561</v>
      </c>
      <c r="Y51" s="314" t="str">
        <f t="shared" ca="1" si="22"/>
        <v/>
      </c>
      <c r="Z51" s="315" t="str">
        <f t="shared" ca="1" si="23"/>
        <v/>
      </c>
      <c r="AA51" s="316" t="str">
        <f t="shared" ca="1" si="24"/>
        <v/>
      </c>
      <c r="AC51" s="310" t="e">
        <f t="shared" ca="1" si="25"/>
        <v>#N/A</v>
      </c>
      <c r="AD51" s="323" t="e">
        <f t="shared" ca="1" si="26"/>
        <v>#N/A</v>
      </c>
      <c r="AE51" s="324">
        <f t="shared" ca="1" si="5"/>
        <v>10.930301961825897</v>
      </c>
      <c r="AG51" s="306">
        <f t="shared" ca="1" si="27"/>
        <v>104.44179047935448</v>
      </c>
      <c r="AH51" s="304">
        <f t="shared" ca="1" si="28"/>
        <v>114.21135437424213</v>
      </c>
    </row>
    <row r="52" spans="1:34" x14ac:dyDescent="0.2">
      <c r="A52" s="347">
        <f t="shared" ca="1" si="6"/>
        <v>0.01</v>
      </c>
      <c r="B52" s="304">
        <f t="shared" ca="1" si="7"/>
        <v>0.48000000000000026</v>
      </c>
      <c r="D52" s="306">
        <f t="shared" ca="1" si="8"/>
        <v>10.354789519998372</v>
      </c>
      <c r="E52" s="307">
        <f t="shared" ca="1" si="9"/>
        <v>103.65263082324242</v>
      </c>
      <c r="F52" s="304">
        <f t="shared" ca="1" si="10"/>
        <v>104.16856312046765</v>
      </c>
      <c r="G52" s="306">
        <f t="shared" ca="1" si="11"/>
        <v>4.5303116545414879</v>
      </c>
      <c r="H52" s="307">
        <f t="shared" ca="1" si="12"/>
        <v>49.542800742669492</v>
      </c>
      <c r="I52" s="304">
        <f t="shared" ca="1" si="13"/>
        <v>49.749500792622307</v>
      </c>
      <c r="J52" s="306">
        <f t="shared" ca="1" si="14"/>
        <v>1.0155504314091603</v>
      </c>
      <c r="K52" s="307">
        <f t="shared" ca="1" si="15"/>
        <v>11.420547337711429</v>
      </c>
      <c r="L52" s="304">
        <f t="shared" ca="1" si="0"/>
        <v>11.465611373653084</v>
      </c>
      <c r="M52" s="306">
        <f t="shared" ca="1" si="16"/>
        <v>1.479607546349528</v>
      </c>
      <c r="N52" s="304">
        <f t="shared" ca="1" si="17"/>
        <v>84.775267741535288</v>
      </c>
      <c r="P52" s="310">
        <f t="shared" ca="1" si="18"/>
        <v>2</v>
      </c>
      <c r="Q52" s="304">
        <f t="shared" ca="1" si="19"/>
        <v>803.27777777777771</v>
      </c>
      <c r="R52" s="306">
        <f t="shared" ca="1" si="20"/>
        <v>0.40312769057285341</v>
      </c>
      <c r="S52" s="307">
        <f t="shared" ca="1" si="21"/>
        <v>6.9908842169073369</v>
      </c>
      <c r="T52" s="304">
        <f t="shared" ca="1" si="1"/>
        <v>68.580574167860973</v>
      </c>
      <c r="U52" s="311">
        <f t="shared" ca="1" si="2"/>
        <v>0</v>
      </c>
      <c r="V52" s="306">
        <f t="shared" ca="1" si="3"/>
        <v>1.2236017813722317</v>
      </c>
      <c r="W52" s="304">
        <f t="shared" ca="1" si="4"/>
        <v>7.0699634573188099</v>
      </c>
      <c r="Y52" s="314" t="str">
        <f t="shared" ca="1" si="22"/>
        <v/>
      </c>
      <c r="Z52" s="315" t="str">
        <f t="shared" ca="1" si="23"/>
        <v/>
      </c>
      <c r="AA52" s="316" t="str">
        <f t="shared" ca="1" si="24"/>
        <v/>
      </c>
      <c r="AC52" s="310" t="e">
        <f t="shared" ca="1" si="25"/>
        <v>#N/A</v>
      </c>
      <c r="AD52" s="323" t="e">
        <f t="shared" ca="1" si="26"/>
        <v>#N/A</v>
      </c>
      <c r="AE52" s="324">
        <f t="shared" ca="1" si="5"/>
        <v>11.420547337711429</v>
      </c>
      <c r="AG52" s="306">
        <f t="shared" ca="1" si="27"/>
        <v>104.16474759790343</v>
      </c>
      <c r="AH52" s="304">
        <f t="shared" ca="1" si="28"/>
        <v>113.93414878487867</v>
      </c>
    </row>
    <row r="53" spans="1:34" x14ac:dyDescent="0.2">
      <c r="A53" s="347">
        <f t="shared" ca="1" si="6"/>
        <v>0.01</v>
      </c>
      <c r="B53" s="304">
        <f t="shared" ca="1" si="7"/>
        <v>0.49000000000000027</v>
      </c>
      <c r="D53" s="306">
        <f t="shared" ca="1" si="8"/>
        <v>10.349764895362309</v>
      </c>
      <c r="E53" s="307">
        <f t="shared" ca="1" si="9"/>
        <v>103.37345823523856</v>
      </c>
      <c r="F53" s="304">
        <f t="shared" ca="1" si="10"/>
        <v>103.89027625770318</v>
      </c>
      <c r="G53" s="306">
        <f t="shared" ca="1" si="11"/>
        <v>4.6338093034951111</v>
      </c>
      <c r="H53" s="307">
        <f t="shared" ca="1" si="12"/>
        <v>50.576535325021879</v>
      </c>
      <c r="I53" s="304">
        <f t="shared" ca="1" si="13"/>
        <v>50.788365933000286</v>
      </c>
      <c r="J53" s="306">
        <f t="shared" ca="1" si="14"/>
        <v>1.0613710361993434</v>
      </c>
      <c r="K53" s="307">
        <f t="shared" ca="1" si="15"/>
        <v>11.921144018049887</v>
      </c>
      <c r="L53" s="304">
        <f t="shared" ca="1" si="0"/>
        <v>11.968299092835601</v>
      </c>
      <c r="M53" s="306">
        <f t="shared" ca="1" si="16"/>
        <v>1.4794316551454543</v>
      </c>
      <c r="N53" s="304">
        <f t="shared" ca="1" si="17"/>
        <v>84.765189917888392</v>
      </c>
      <c r="P53" s="310">
        <f t="shared" ca="1" si="18"/>
        <v>2</v>
      </c>
      <c r="Q53" s="304">
        <f t="shared" ca="1" si="19"/>
        <v>801.16666666666663</v>
      </c>
      <c r="R53" s="306">
        <f t="shared" ca="1" si="20"/>
        <v>0.40206822226648586</v>
      </c>
      <c r="S53" s="307">
        <f t="shared" ca="1" si="21"/>
        <v>6.9868635346846721</v>
      </c>
      <c r="T53" s="304">
        <f t="shared" ca="1" si="1"/>
        <v>68.541131275256632</v>
      </c>
      <c r="U53" s="311">
        <f t="shared" ca="1" si="2"/>
        <v>0</v>
      </c>
      <c r="V53" s="306">
        <f t="shared" ca="1" si="3"/>
        <v>1.2235405297855195</v>
      </c>
      <c r="W53" s="304">
        <f t="shared" ca="1" si="4"/>
        <v>7.3679463366122597</v>
      </c>
      <c r="Y53" s="314" t="str">
        <f t="shared" ca="1" si="22"/>
        <v/>
      </c>
      <c r="Z53" s="315" t="str">
        <f t="shared" ca="1" si="23"/>
        <v/>
      </c>
      <c r="AA53" s="316" t="str">
        <f t="shared" ca="1" si="24"/>
        <v/>
      </c>
      <c r="AC53" s="310" t="e">
        <f t="shared" ca="1" si="25"/>
        <v>#N/A</v>
      </c>
      <c r="AD53" s="323" t="e">
        <f t="shared" ca="1" si="26"/>
        <v>#N/A</v>
      </c>
      <c r="AE53" s="324">
        <f t="shared" ca="1" si="5"/>
        <v>11.921144018049887</v>
      </c>
      <c r="AG53" s="306">
        <f t="shared" ca="1" si="27"/>
        <v>103.8864354739969</v>
      </c>
      <c r="AH53" s="304">
        <f t="shared" ca="1" si="28"/>
        <v>113.65567672350231</v>
      </c>
    </row>
    <row r="54" spans="1:34" x14ac:dyDescent="0.2">
      <c r="A54" s="347">
        <f t="shared" ca="1" si="6"/>
        <v>0.01</v>
      </c>
      <c r="B54" s="304">
        <f t="shared" ca="1" si="7"/>
        <v>0.50000000000000022</v>
      </c>
      <c r="D54" s="306">
        <f t="shared" ca="1" si="8"/>
        <v>10.344150666163044</v>
      </c>
      <c r="E54" s="307">
        <f t="shared" ca="1" si="9"/>
        <v>103.09307116866775</v>
      </c>
      <c r="F54" s="304">
        <f t="shared" ca="1" si="10"/>
        <v>103.61072712799709</v>
      </c>
      <c r="G54" s="306">
        <f t="shared" ca="1" si="11"/>
        <v>4.7372508101567412</v>
      </c>
      <c r="H54" s="307">
        <f t="shared" ca="1" si="12"/>
        <v>51.607466036708558</v>
      </c>
      <c r="I54" s="304">
        <f t="shared" ca="1" si="13"/>
        <v>51.824435317409467</v>
      </c>
      <c r="J54" s="306">
        <f t="shared" ca="1" si="14"/>
        <v>1.1082263367676026</v>
      </c>
      <c r="K54" s="307">
        <f t="shared" ca="1" si="15"/>
        <v>12.432064024858539</v>
      </c>
      <c r="L54" s="304">
        <f t="shared" ca="1" si="0"/>
        <v>12.48136136531938</v>
      </c>
      <c r="M54" s="306">
        <f t="shared" ca="1" si="16"/>
        <v>1.4792589487786936</v>
      </c>
      <c r="N54" s="304">
        <f t="shared" ca="1" si="17"/>
        <v>84.75529457197797</v>
      </c>
      <c r="P54" s="310">
        <f t="shared" ca="1" si="18"/>
        <v>2</v>
      </c>
      <c r="Q54" s="304">
        <f t="shared" ca="1" si="19"/>
        <v>799.05555555555554</v>
      </c>
      <c r="R54" s="306">
        <f t="shared" ca="1" si="20"/>
        <v>0.40100875396011837</v>
      </c>
      <c r="S54" s="307">
        <f t="shared" ca="1" si="21"/>
        <v>6.9828534471450707</v>
      </c>
      <c r="T54" s="304">
        <f t="shared" ca="1" si="1"/>
        <v>68.501792316493152</v>
      </c>
      <c r="U54" s="311">
        <f t="shared" ca="1" si="2"/>
        <v>0</v>
      </c>
      <c r="V54" s="306">
        <f t="shared" ca="1" si="3"/>
        <v>1.2234780182256979</v>
      </c>
      <c r="W54" s="304">
        <f t="shared" ca="1" si="4"/>
        <v>7.6712289112152643</v>
      </c>
      <c r="Y54" s="314" t="str">
        <f t="shared" ca="1" si="22"/>
        <v/>
      </c>
      <c r="Z54" s="315" t="str">
        <f t="shared" ca="1" si="23"/>
        <v/>
      </c>
      <c r="AA54" s="316" t="str">
        <f t="shared" ca="1" si="24"/>
        <v/>
      </c>
      <c r="AC54" s="310" t="e">
        <f t="shared" ca="1" si="25"/>
        <v>#N/A</v>
      </c>
      <c r="AD54" s="323" t="e">
        <f t="shared" ca="1" si="26"/>
        <v>#N/A</v>
      </c>
      <c r="AE54" s="324">
        <f t="shared" ca="1" si="5"/>
        <v>12.432064024858539</v>
      </c>
      <c r="AG54" s="306">
        <f t="shared" ca="1" si="27"/>
        <v>103.60686115127963</v>
      </c>
      <c r="AH54" s="304">
        <f t="shared" ca="1" si="28"/>
        <v>113.37594512206519</v>
      </c>
    </row>
    <row r="55" spans="1:34" x14ac:dyDescent="0.2">
      <c r="A55" s="347">
        <f t="shared" ca="1" si="6"/>
        <v>0.01</v>
      </c>
      <c r="B55" s="304">
        <f t="shared" ca="1" si="7"/>
        <v>0.51000000000000023</v>
      </c>
      <c r="D55" s="306">
        <f t="shared" ca="1" si="8"/>
        <v>10.344066289670588</v>
      </c>
      <c r="E55" s="307">
        <f t="shared" ca="1" si="9"/>
        <v>102.87794309583411</v>
      </c>
      <c r="F55" s="304">
        <f t="shared" ca="1" si="10"/>
        <v>103.39666765923735</v>
      </c>
      <c r="G55" s="306">
        <f t="shared" ca="1" si="11"/>
        <v>4.8406914730534467</v>
      </c>
      <c r="H55" s="307">
        <f t="shared" ca="1" si="12"/>
        <v>52.636245467666896</v>
      </c>
      <c r="I55" s="304">
        <f t="shared" ca="1" si="13"/>
        <v>52.858363868642172</v>
      </c>
      <c r="J55" s="306">
        <f t="shared" ca="1" si="14"/>
        <v>1.1561160481836537</v>
      </c>
      <c r="K55" s="307">
        <f t="shared" ca="1" si="15"/>
        <v>12.953282582380416</v>
      </c>
      <c r="L55" s="304">
        <f t="shared" ca="1" si="0"/>
        <v>13.0047735072883</v>
      </c>
      <c r="M55" s="306">
        <f t="shared" ca="1" si="16"/>
        <v>1.4790893014235402</v>
      </c>
      <c r="N55" s="304">
        <f t="shared" ca="1" si="17"/>
        <v>84.745574494522117</v>
      </c>
      <c r="P55" s="310">
        <f t="shared" ca="1" si="18"/>
        <v>3</v>
      </c>
      <c r="Q55" s="304">
        <f t="shared" ca="1" si="19"/>
        <v>797.41</v>
      </c>
      <c r="R55" s="306">
        <f t="shared" ca="1" si="20"/>
        <v>0.40018292629604973</v>
      </c>
      <c r="S55" s="307">
        <f t="shared" ca="1" si="21"/>
        <v>6.9788516178821105</v>
      </c>
      <c r="T55" s="304">
        <f t="shared" ca="1" si="1"/>
        <v>68.462534371423502</v>
      </c>
      <c r="U55" s="311">
        <f t="shared" ca="1" si="2"/>
        <v>0</v>
      </c>
      <c r="V55" s="306">
        <f t="shared" ca="1" si="3"/>
        <v>1.2234142499171048</v>
      </c>
      <c r="W55" s="304">
        <f t="shared" ca="1" si="4"/>
        <v>7.979957552522488</v>
      </c>
      <c r="Y55" s="314" t="str">
        <f t="shared" ca="1" si="22"/>
        <v/>
      </c>
      <c r="Z55" s="315" t="str">
        <f t="shared" ca="1" si="23"/>
        <v/>
      </c>
      <c r="AA55" s="316" t="str">
        <f t="shared" ca="1" si="24"/>
        <v/>
      </c>
      <c r="AC55" s="310" t="e">
        <f t="shared" ca="1" si="25"/>
        <v>#N/A</v>
      </c>
      <c r="AD55" s="323" t="e">
        <f t="shared" ca="1" si="26"/>
        <v>#N/A</v>
      </c>
      <c r="AE55" s="324">
        <f t="shared" ca="1" si="5"/>
        <v>12.953282582380416</v>
      </c>
      <c r="AG55" s="306">
        <f t="shared" ca="1" si="27"/>
        <v>103.39277905949008</v>
      </c>
      <c r="AH55" s="304">
        <f t="shared" ca="1" si="28"/>
        <v>113.1617083053055</v>
      </c>
    </row>
    <row r="56" spans="1:34" x14ac:dyDescent="0.2">
      <c r="A56" s="347">
        <f t="shared" ca="1" si="6"/>
        <v>0.01</v>
      </c>
      <c r="B56" s="304">
        <f t="shared" ca="1" si="7"/>
        <v>0.52000000000000024</v>
      </c>
      <c r="D56" s="306">
        <f t="shared" ca="1" si="8"/>
        <v>10.349573713626558</v>
      </c>
      <c r="E56" s="307">
        <f t="shared" ca="1" si="9"/>
        <v>102.72819945118924</v>
      </c>
      <c r="F56" s="304">
        <f t="shared" ca="1" si="10"/>
        <v>103.24822825858615</v>
      </c>
      <c r="G56" s="306">
        <f t="shared" ca="1" si="11"/>
        <v>4.9441872101897122</v>
      </c>
      <c r="H56" s="307">
        <f t="shared" ca="1" si="12"/>
        <v>53.663527462178791</v>
      </c>
      <c r="I56" s="304">
        <f t="shared" ca="1" si="13"/>
        <v>53.890807814073646</v>
      </c>
      <c r="J56" s="306">
        <f t="shared" ca="1" si="14"/>
        <v>1.2050404415998694</v>
      </c>
      <c r="K56" s="307">
        <f t="shared" ca="1" si="15"/>
        <v>13.484781447029643</v>
      </c>
      <c r="L56" s="304">
        <f t="shared" ca="1" si="0"/>
        <v>13.538517390764991</v>
      </c>
      <c r="M56" s="306">
        <f t="shared" ca="1" si="16"/>
        <v>1.4789225966627098</v>
      </c>
      <c r="N56" s="304">
        <f t="shared" ca="1" si="17"/>
        <v>84.736023015301797</v>
      </c>
      <c r="P56" s="310">
        <f t="shared" ca="1" si="18"/>
        <v>3</v>
      </c>
      <c r="Q56" s="304">
        <f t="shared" ca="1" si="19"/>
        <v>796.23</v>
      </c>
      <c r="R56" s="306">
        <f t="shared" ca="1" si="20"/>
        <v>0.39959073927428013</v>
      </c>
      <c r="S56" s="307">
        <f t="shared" ca="1" si="21"/>
        <v>6.9748557104893676</v>
      </c>
      <c r="T56" s="304">
        <f t="shared" ca="1" si="1"/>
        <v>68.423334519900706</v>
      </c>
      <c r="U56" s="311">
        <f t="shared" ca="1" si="2"/>
        <v>0</v>
      </c>
      <c r="V56" s="306">
        <f t="shared" ca="1" si="3"/>
        <v>1.2233492272882007</v>
      </c>
      <c r="W56" s="304">
        <f t="shared" ca="1" si="4"/>
        <v>8.2942945350393291</v>
      </c>
      <c r="Y56" s="314" t="str">
        <f t="shared" ca="1" si="22"/>
        <v/>
      </c>
      <c r="Z56" s="315" t="str">
        <f t="shared" ca="1" si="23"/>
        <v/>
      </c>
      <c r="AA56" s="316" t="str">
        <f t="shared" ca="1" si="24"/>
        <v/>
      </c>
      <c r="AC56" s="310" t="e">
        <f t="shared" ca="1" si="25"/>
        <v>#N/A</v>
      </c>
      <c r="AD56" s="323" t="e">
        <f t="shared" ca="1" si="26"/>
        <v>#N/A</v>
      </c>
      <c r="AE56" s="324">
        <f t="shared" ca="1" si="5"/>
        <v>13.484781447029643</v>
      </c>
      <c r="AG56" s="306">
        <f t="shared" ca="1" si="27"/>
        <v>103.24431966058353</v>
      </c>
      <c r="AH56" s="304">
        <f t="shared" ca="1" si="28"/>
        <v>113.01309663826331</v>
      </c>
    </row>
    <row r="57" spans="1:34" x14ac:dyDescent="0.2">
      <c r="A57" s="347">
        <f t="shared" ca="1" si="6"/>
        <v>0.01</v>
      </c>
      <c r="B57" s="304">
        <f t="shared" ca="1" si="7"/>
        <v>0.53000000000000025</v>
      </c>
      <c r="D57" s="306">
        <f t="shared" ca="1" si="8"/>
        <v>10.354601674932734</v>
      </c>
      <c r="E57" s="307">
        <f t="shared" ca="1" si="9"/>
        <v>102.57742137382664</v>
      </c>
      <c r="F57" s="304">
        <f t="shared" ca="1" si="10"/>
        <v>103.09871556692696</v>
      </c>
      <c r="G57" s="306">
        <f t="shared" ca="1" si="11"/>
        <v>5.0477332269390391</v>
      </c>
      <c r="H57" s="307">
        <f t="shared" ca="1" si="12"/>
        <v>54.689301675917058</v>
      </c>
      <c r="I57" s="304">
        <f t="shared" ca="1" si="13"/>
        <v>54.921756422476228</v>
      </c>
      <c r="J57" s="306">
        <f t="shared" ca="1" si="14"/>
        <v>1.2550000437855131</v>
      </c>
      <c r="K57" s="307">
        <f t="shared" ca="1" si="15"/>
        <v>14.026545592720122</v>
      </c>
      <c r="L57" s="304">
        <f t="shared" ca="1" si="0"/>
        <v>14.082578115336622</v>
      </c>
      <c r="M57" s="306">
        <f t="shared" ca="1" si="16"/>
        <v>1.478758724643606</v>
      </c>
      <c r="N57" s="304">
        <f t="shared" ca="1" si="17"/>
        <v>84.726633840226867</v>
      </c>
      <c r="P57" s="310">
        <f t="shared" ca="1" si="18"/>
        <v>3</v>
      </c>
      <c r="Q57" s="304">
        <f t="shared" ca="1" si="19"/>
        <v>795.05</v>
      </c>
      <c r="R57" s="306">
        <f t="shared" ca="1" si="20"/>
        <v>0.39899855225251041</v>
      </c>
      <c r="S57" s="307">
        <f t="shared" ca="1" si="21"/>
        <v>6.9708657249668429</v>
      </c>
      <c r="T57" s="304">
        <f t="shared" ca="1" si="1"/>
        <v>68.384192761924737</v>
      </c>
      <c r="U57" s="311">
        <f t="shared" ca="1" si="2"/>
        <v>0</v>
      </c>
      <c r="V57" s="306">
        <f t="shared" ca="1" si="3"/>
        <v>1.2232829523772304</v>
      </c>
      <c r="W57" s="304">
        <f t="shared" ca="1" si="4"/>
        <v>8.6142083742117759</v>
      </c>
      <c r="Y57" s="314" t="str">
        <f t="shared" ca="1" si="22"/>
        <v/>
      </c>
      <c r="Z57" s="315" t="str">
        <f t="shared" ca="1" si="23"/>
        <v/>
      </c>
      <c r="AA57" s="316" t="str">
        <f t="shared" ca="1" si="24"/>
        <v/>
      </c>
      <c r="AC57" s="310" t="e">
        <f t="shared" ca="1" si="25"/>
        <v>#N/A</v>
      </c>
      <c r="AD57" s="323" t="e">
        <f t="shared" ca="1" si="26"/>
        <v>#N/A</v>
      </c>
      <c r="AE57" s="324">
        <f t="shared" ca="1" si="5"/>
        <v>14.026545592720122</v>
      </c>
      <c r="AG57" s="306">
        <f t="shared" ca="1" si="27"/>
        <v>103.09478709671009</v>
      </c>
      <c r="AH57" s="304">
        <f t="shared" ca="1" si="28"/>
        <v>112.86341417352475</v>
      </c>
    </row>
    <row r="58" spans="1:34" x14ac:dyDescent="0.2">
      <c r="A58" s="347">
        <f t="shared" ca="1" si="6"/>
        <v>0.01</v>
      </c>
      <c r="B58" s="304">
        <f t="shared" ca="1" si="7"/>
        <v>0.54000000000000026</v>
      </c>
      <c r="D58" s="306">
        <f t="shared" ca="1" si="8"/>
        <v>10.359163582693162</v>
      </c>
      <c r="E58" s="307">
        <f t="shared" ca="1" si="9"/>
        <v>102.42561087986201</v>
      </c>
      <c r="F58" s="304">
        <f t="shared" ca="1" si="10"/>
        <v>102.94813273802446</v>
      </c>
      <c r="G58" s="306">
        <f t="shared" ca="1" si="11"/>
        <v>5.1513248627659705</v>
      </c>
      <c r="H58" s="307">
        <f t="shared" ca="1" si="12"/>
        <v>55.713557784715675</v>
      </c>
      <c r="I58" s="304">
        <f t="shared" ca="1" si="13"/>
        <v>55.951198994057343</v>
      </c>
      <c r="J58" s="306">
        <f t="shared" ca="1" si="14"/>
        <v>1.3059953342340382</v>
      </c>
      <c r="K58" s="307">
        <f t="shared" ca="1" si="15"/>
        <v>14.578559890023286</v>
      </c>
      <c r="L58" s="304">
        <f t="shared" ca="1" si="0"/>
        <v>14.636940673516335</v>
      </c>
      <c r="M58" s="306">
        <f t="shared" ca="1" si="16"/>
        <v>1.4785975815903021</v>
      </c>
      <c r="N58" s="304">
        <f t="shared" ca="1" si="17"/>
        <v>84.717401023374691</v>
      </c>
      <c r="P58" s="310">
        <f t="shared" ca="1" si="18"/>
        <v>3</v>
      </c>
      <c r="Q58" s="304">
        <f t="shared" ca="1" si="19"/>
        <v>793.87</v>
      </c>
      <c r="R58" s="306">
        <f t="shared" ca="1" si="20"/>
        <v>0.3984063652307408</v>
      </c>
      <c r="S58" s="307">
        <f t="shared" ca="1" si="21"/>
        <v>6.9668816613145355</v>
      </c>
      <c r="T58" s="304">
        <f t="shared" ca="1" si="1"/>
        <v>68.345109097495595</v>
      </c>
      <c r="U58" s="311">
        <f t="shared" ca="1" si="2"/>
        <v>0</v>
      </c>
      <c r="V58" s="306">
        <f t="shared" ca="1" si="3"/>
        <v>1.2232154272385163</v>
      </c>
      <c r="W58" s="304">
        <f t="shared" ca="1" si="4"/>
        <v>8.9396673549974803</v>
      </c>
      <c r="Y58" s="314" t="str">
        <f t="shared" ca="1" si="22"/>
        <v/>
      </c>
      <c r="Z58" s="315" t="str">
        <f t="shared" ca="1" si="23"/>
        <v/>
      </c>
      <c r="AA58" s="316" t="str">
        <f t="shared" ca="1" si="24"/>
        <v/>
      </c>
      <c r="AC58" s="310" t="e">
        <f t="shared" ca="1" si="25"/>
        <v>#N/A</v>
      </c>
      <c r="AD58" s="323" t="e">
        <f t="shared" ca="1" si="26"/>
        <v>#N/A</v>
      </c>
      <c r="AE58" s="324">
        <f t="shared" ca="1" si="5"/>
        <v>14.578559890023286</v>
      </c>
      <c r="AG58" s="306">
        <f t="shared" ca="1" si="27"/>
        <v>102.94418451363886</v>
      </c>
      <c r="AH58" s="304">
        <f t="shared" ca="1" si="28"/>
        <v>112.71266397219433</v>
      </c>
    </row>
    <row r="59" spans="1:34" x14ac:dyDescent="0.2">
      <c r="A59" s="347">
        <f t="shared" ca="1" si="6"/>
        <v>0.01</v>
      </c>
      <c r="B59" s="304">
        <f t="shared" ca="1" si="7"/>
        <v>0.55000000000000027</v>
      </c>
      <c r="D59" s="306">
        <f t="shared" ca="1" si="8"/>
        <v>10.363272122467862</v>
      </c>
      <c r="E59" s="307">
        <f t="shared" ca="1" si="9"/>
        <v>102.27277008641799</v>
      </c>
      <c r="F59" s="304">
        <f t="shared" ca="1" si="10"/>
        <v>102.79648296626512</v>
      </c>
      <c r="G59" s="306">
        <f t="shared" ca="1" si="11"/>
        <v>5.2549575839906488</v>
      </c>
      <c r="H59" s="307">
        <f t="shared" ca="1" si="12"/>
        <v>56.736285485579856</v>
      </c>
      <c r="I59" s="304">
        <f t="shared" ca="1" si="13"/>
        <v>56.979124860871288</v>
      </c>
      <c r="J59" s="306">
        <f t="shared" ca="1" si="14"/>
        <v>1.3580267464678213</v>
      </c>
      <c r="K59" s="307">
        <f t="shared" ca="1" si="15"/>
        <v>15.140809106374764</v>
      </c>
      <c r="L59" s="304">
        <f t="shared" ca="1" si="0"/>
        <v>15.20158995104798</v>
      </c>
      <c r="M59" s="306">
        <f t="shared" ca="1" si="16"/>
        <v>1.4784390693602227</v>
      </c>
      <c r="N59" s="304">
        <f t="shared" ca="1" si="17"/>
        <v>84.708318941589951</v>
      </c>
      <c r="P59" s="310">
        <f t="shared" ca="1" si="18"/>
        <v>3</v>
      </c>
      <c r="Q59" s="304">
        <f t="shared" ca="1" si="19"/>
        <v>792.68999999999994</v>
      </c>
      <c r="R59" s="306">
        <f t="shared" ca="1" si="20"/>
        <v>0.39781417820897108</v>
      </c>
      <c r="S59" s="307">
        <f t="shared" ca="1" si="21"/>
        <v>6.9629035195324454</v>
      </c>
      <c r="T59" s="304">
        <f t="shared" ca="1" si="1"/>
        <v>68.306083526613293</v>
      </c>
      <c r="U59" s="311">
        <f t="shared" ca="1" si="2"/>
        <v>0</v>
      </c>
      <c r="V59" s="306">
        <f t="shared" ca="1" si="3"/>
        <v>1.2231466539424125</v>
      </c>
      <c r="W59" s="304">
        <f t="shared" ca="1" si="4"/>
        <v>9.2706395343175814</v>
      </c>
      <c r="Y59" s="314" t="str">
        <f t="shared" ca="1" si="22"/>
        <v/>
      </c>
      <c r="Z59" s="315" t="str">
        <f t="shared" ca="1" si="23"/>
        <v/>
      </c>
      <c r="AA59" s="316" t="str">
        <f t="shared" ca="1" si="24"/>
        <v/>
      </c>
      <c r="AC59" s="310" t="e">
        <f t="shared" ca="1" si="25"/>
        <v>#N/A</v>
      </c>
      <c r="AD59" s="323" t="e">
        <f t="shared" ca="1" si="26"/>
        <v>#N/A</v>
      </c>
      <c r="AE59" s="324">
        <f t="shared" ca="1" si="5"/>
        <v>15.140809106374764</v>
      </c>
      <c r="AG59" s="306">
        <f t="shared" ca="1" si="27"/>
        <v>102.79251509815774</v>
      </c>
      <c r="AH59" s="304">
        <f t="shared" ca="1" si="28"/>
        <v>112.56084914093867</v>
      </c>
    </row>
    <row r="60" spans="1:34" x14ac:dyDescent="0.2">
      <c r="A60" s="347">
        <f t="shared" ca="1" si="6"/>
        <v>0.01</v>
      </c>
      <c r="B60" s="304">
        <f t="shared" ca="1" si="7"/>
        <v>0.56000000000000028</v>
      </c>
      <c r="D60" s="306">
        <f t="shared" ca="1" si="8"/>
        <v>10.366939309361053</v>
      </c>
      <c r="E60" s="307">
        <f t="shared" ca="1" si="9"/>
        <v>102.11890120740412</v>
      </c>
      <c r="F60" s="304">
        <f t="shared" ca="1" si="10"/>
        <v>102.64376948676201</v>
      </c>
      <c r="G60" s="306">
        <f t="shared" ca="1" si="11"/>
        <v>5.3586269770842589</v>
      </c>
      <c r="H60" s="307">
        <f t="shared" ca="1" si="12"/>
        <v>57.757474497653895</v>
      </c>
      <c r="I60" s="304">
        <f t="shared" ca="1" si="13"/>
        <v>58.005523387231626</v>
      </c>
      <c r="J60" s="306">
        <f t="shared" ca="1" si="14"/>
        <v>1.4110946692731958</v>
      </c>
      <c r="K60" s="307">
        <f t="shared" ca="1" si="15"/>
        <v>15.713277906290934</v>
      </c>
      <c r="L60" s="304">
        <f t="shared" ca="1" si="0"/>
        <v>15.77651072721665</v>
      </c>
      <c r="M60" s="306">
        <f t="shared" ca="1" si="16"/>
        <v>1.478283095040696</v>
      </c>
      <c r="N60" s="304">
        <f t="shared" ca="1" si="17"/>
        <v>84.699382271368634</v>
      </c>
      <c r="P60" s="310">
        <f t="shared" ca="1" si="18"/>
        <v>3</v>
      </c>
      <c r="Q60" s="304">
        <f t="shared" ca="1" si="19"/>
        <v>791.51</v>
      </c>
      <c r="R60" s="306">
        <f t="shared" ca="1" si="20"/>
        <v>0.39722199118720147</v>
      </c>
      <c r="S60" s="307">
        <f t="shared" ca="1" si="21"/>
        <v>6.9589312996205734</v>
      </c>
      <c r="T60" s="304">
        <f t="shared" ca="1" si="1"/>
        <v>68.267116049277831</v>
      </c>
      <c r="U60" s="311">
        <f t="shared" ca="1" si="2"/>
        <v>0</v>
      </c>
      <c r="V60" s="306">
        <f t="shared" ca="1" si="3"/>
        <v>1.2230766345752511</v>
      </c>
      <c r="W60" s="304">
        <f t="shared" ca="1" si="4"/>
        <v>9.607092743528046</v>
      </c>
      <c r="Y60" s="314" t="str">
        <f t="shared" ca="1" si="22"/>
        <v/>
      </c>
      <c r="Z60" s="315" t="str">
        <f t="shared" ca="1" si="23"/>
        <v/>
      </c>
      <c r="AA60" s="316" t="str">
        <f t="shared" ca="1" si="24"/>
        <v/>
      </c>
      <c r="AC60" s="310" t="e">
        <f t="shared" ca="1" si="25"/>
        <v>#N/A</v>
      </c>
      <c r="AD60" s="323" t="e">
        <f t="shared" ca="1" si="26"/>
        <v>#N/A</v>
      </c>
      <c r="AE60" s="324">
        <f t="shared" ca="1" si="5"/>
        <v>15.713277906290934</v>
      </c>
      <c r="AG60" s="306">
        <f t="shared" ca="1" si="27"/>
        <v>102.63978207814958</v>
      </c>
      <c r="AH60" s="304">
        <f t="shared" ca="1" si="28"/>
        <v>112.40797283173826</v>
      </c>
    </row>
    <row r="61" spans="1:34" x14ac:dyDescent="0.2">
      <c r="A61" s="347">
        <f t="shared" ca="1" si="6"/>
        <v>0.01</v>
      </c>
      <c r="B61" s="304">
        <f t="shared" ca="1" si="7"/>
        <v>0.57000000000000028</v>
      </c>
      <c r="D61" s="306">
        <f t="shared" ca="1" si="8"/>
        <v>10.370176536337965</v>
      </c>
      <c r="E61" s="307">
        <f t="shared" ca="1" si="9"/>
        <v>101.96400654964286</v>
      </c>
      <c r="F61" s="304">
        <f t="shared" ca="1" si="10"/>
        <v>102.48999557542398</v>
      </c>
      <c r="G61" s="306">
        <f t="shared" ca="1" si="11"/>
        <v>5.4623287424476388</v>
      </c>
      <c r="H61" s="307">
        <f t="shared" ca="1" si="12"/>
        <v>58.77711456315032</v>
      </c>
      <c r="I61" s="304">
        <f t="shared" ca="1" si="13"/>
        <v>59.030383970123957</v>
      </c>
      <c r="J61" s="306">
        <f t="shared" ca="1" si="14"/>
        <v>1.4651994478708552</v>
      </c>
      <c r="K61" s="307">
        <f t="shared" ca="1" si="15"/>
        <v>16.295950851594956</v>
      </c>
      <c r="L61" s="304">
        <f t="shared" ca="1" si="0"/>
        <v>16.361687675164792</v>
      </c>
      <c r="M61" s="306">
        <f t="shared" ca="1" si="16"/>
        <v>1.4781295705811301</v>
      </c>
      <c r="N61" s="304">
        <f t="shared" ca="1" si="17"/>
        <v>84.690585967783491</v>
      </c>
      <c r="P61" s="310">
        <f t="shared" ca="1" si="18"/>
        <v>3</v>
      </c>
      <c r="Q61" s="304">
        <f t="shared" ca="1" si="19"/>
        <v>790.32999999999993</v>
      </c>
      <c r="R61" s="306">
        <f t="shared" ca="1" si="20"/>
        <v>0.39662980416543181</v>
      </c>
      <c r="S61" s="307">
        <f t="shared" ca="1" si="21"/>
        <v>6.9549650015789188</v>
      </c>
      <c r="T61" s="304">
        <f t="shared" ca="1" si="1"/>
        <v>68.228206665489196</v>
      </c>
      <c r="U61" s="311">
        <f t="shared" ca="1" si="2"/>
        <v>0</v>
      </c>
      <c r="V61" s="306">
        <f t="shared" ca="1" si="3"/>
        <v>1.2230053712392921</v>
      </c>
      <c r="W61" s="304">
        <f t="shared" ca="1" si="4"/>
        <v>9.9489945909104023</v>
      </c>
      <c r="Y61" s="314" t="str">
        <f t="shared" ca="1" si="22"/>
        <v/>
      </c>
      <c r="Z61" s="315" t="str">
        <f t="shared" ca="1" si="23"/>
        <v/>
      </c>
      <c r="AA61" s="316" t="str">
        <f t="shared" ca="1" si="24"/>
        <v/>
      </c>
      <c r="AC61" s="310" t="e">
        <f t="shared" ca="1" si="25"/>
        <v>#N/A</v>
      </c>
      <c r="AD61" s="323" t="e">
        <f t="shared" ca="1" si="26"/>
        <v>#N/A</v>
      </c>
      <c r="AE61" s="324">
        <f t="shared" ca="1" si="5"/>
        <v>16.295950851594956</v>
      </c>
      <c r="AG61" s="306">
        <f t="shared" ca="1" si="27"/>
        <v>102.48598872263496</v>
      </c>
      <c r="AH61" s="304">
        <f t="shared" ca="1" si="28"/>
        <v>112.25403824163485</v>
      </c>
    </row>
    <row r="62" spans="1:34" x14ac:dyDescent="0.2">
      <c r="A62" s="347">
        <f t="shared" ca="1" si="6"/>
        <v>0.01</v>
      </c>
      <c r="B62" s="304">
        <f t="shared" ca="1" si="7"/>
        <v>0.58000000000000029</v>
      </c>
      <c r="D62" s="306">
        <f t="shared" ca="1" si="8"/>
        <v>10.372994618277586</v>
      </c>
      <c r="E62" s="307">
        <f t="shared" ca="1" si="9"/>
        <v>101.80808850930542</v>
      </c>
      <c r="F62" s="304">
        <f t="shared" ca="1" si="10"/>
        <v>102.33516454899255</v>
      </c>
      <c r="G62" s="306">
        <f t="shared" ca="1" si="11"/>
        <v>5.5660586886304149</v>
      </c>
      <c r="H62" s="307">
        <f t="shared" ca="1" si="12"/>
        <v>59.795195448243376</v>
      </c>
      <c r="I62" s="304">
        <f t="shared" ca="1" si="13"/>
        <v>60.053696039618607</v>
      </c>
      <c r="J62" s="306">
        <f t="shared" ca="1" si="14"/>
        <v>1.5203413850262455</v>
      </c>
      <c r="K62" s="307">
        <f t="shared" ca="1" si="15"/>
        <v>16.888812401651926</v>
      </c>
      <c r="L62" s="304">
        <f t="shared" ca="1" si="0"/>
        <v>16.957105362213664</v>
      </c>
      <c r="M62" s="306">
        <f t="shared" ca="1" si="16"/>
        <v>1.4779784124571016</v>
      </c>
      <c r="N62" s="304">
        <f t="shared" ca="1" si="17"/>
        <v>84.681925245237537</v>
      </c>
      <c r="P62" s="310">
        <f t="shared" ca="1" si="18"/>
        <v>3</v>
      </c>
      <c r="Q62" s="304">
        <f t="shared" ca="1" si="19"/>
        <v>789.15</v>
      </c>
      <c r="R62" s="306">
        <f t="shared" ca="1" si="20"/>
        <v>0.39603761714366215</v>
      </c>
      <c r="S62" s="307">
        <f t="shared" ca="1" si="21"/>
        <v>6.9510046254074824</v>
      </c>
      <c r="T62" s="304">
        <f t="shared" ca="1" si="1"/>
        <v>68.189355375247402</v>
      </c>
      <c r="U62" s="311">
        <f t="shared" ca="1" si="2"/>
        <v>0</v>
      </c>
      <c r="V62" s="306">
        <f t="shared" ca="1" si="3"/>
        <v>1.2229328660526699</v>
      </c>
      <c r="W62" s="304">
        <f t="shared" ca="1" si="4"/>
        <v>10.296312464181382</v>
      </c>
      <c r="Y62" s="314" t="str">
        <f t="shared" ca="1" si="22"/>
        <v/>
      </c>
      <c r="Z62" s="315" t="str">
        <f t="shared" ca="1" si="23"/>
        <v/>
      </c>
      <c r="AA62" s="316" t="str">
        <f t="shared" ca="1" si="24"/>
        <v/>
      </c>
      <c r="AC62" s="310" t="e">
        <f t="shared" ca="1" si="25"/>
        <v>#N/A</v>
      </c>
      <c r="AD62" s="323" t="e">
        <f t="shared" ca="1" si="26"/>
        <v>#N/A</v>
      </c>
      <c r="AE62" s="324">
        <f t="shared" ca="1" si="5"/>
        <v>16.888812401651926</v>
      </c>
      <c r="AG62" s="306">
        <f t="shared" ca="1" si="27"/>
        <v>102.33113834178539</v>
      </c>
      <c r="AH62" s="304">
        <f t="shared" ca="1" si="28"/>
        <v>112.09904861247466</v>
      </c>
    </row>
    <row r="63" spans="1:34" x14ac:dyDescent="0.2">
      <c r="A63" s="347">
        <f t="shared" ca="1" si="6"/>
        <v>0.01</v>
      </c>
      <c r="B63" s="304">
        <f t="shared" ca="1" si="7"/>
        <v>0.5900000000000003</v>
      </c>
      <c r="D63" s="306">
        <f t="shared" ca="1" si="8"/>
        <v>10.375403832205496</v>
      </c>
      <c r="E63" s="307">
        <f t="shared" ca="1" si="9"/>
        <v>101.65114956862516</v>
      </c>
      <c r="F63" s="304">
        <f t="shared" ca="1" si="10"/>
        <v>102.17927976504996</v>
      </c>
      <c r="G63" s="306">
        <f t="shared" ca="1" si="11"/>
        <v>5.6698127269524701</v>
      </c>
      <c r="H63" s="307">
        <f t="shared" ca="1" si="12"/>
        <v>60.811706943929629</v>
      </c>
      <c r="I63" s="304">
        <f t="shared" ca="1" si="13"/>
        <v>61.075449059283152</v>
      </c>
      <c r="J63" s="306">
        <f t="shared" ca="1" si="14"/>
        <v>1.5765207421041598</v>
      </c>
      <c r="K63" s="307">
        <f t="shared" ca="1" si="15"/>
        <v>17.49184691361279</v>
      </c>
      <c r="L63" s="304">
        <f t="shared" ca="1" si="0"/>
        <v>17.562748250189944</v>
      </c>
      <c r="M63" s="306">
        <f t="shared" ca="1" si="16"/>
        <v>1.4778295413630771</v>
      </c>
      <c r="N63" s="304">
        <f t="shared" ca="1" si="17"/>
        <v>84.673395559858434</v>
      </c>
      <c r="P63" s="310">
        <f t="shared" ca="1" si="18"/>
        <v>3</v>
      </c>
      <c r="Q63" s="304">
        <f t="shared" ca="1" si="19"/>
        <v>787.96999999999991</v>
      </c>
      <c r="R63" s="306">
        <f t="shared" ca="1" si="20"/>
        <v>0.39544543012189248</v>
      </c>
      <c r="S63" s="307">
        <f t="shared" ca="1" si="21"/>
        <v>6.9470501711062633</v>
      </c>
      <c r="T63" s="304">
        <f t="shared" ca="1" si="1"/>
        <v>68.150562178552448</v>
      </c>
      <c r="U63" s="311">
        <f t="shared" ca="1" si="2"/>
        <v>0</v>
      </c>
      <c r="V63" s="306">
        <f t="shared" ca="1" si="3"/>
        <v>1.2228591211493383</v>
      </c>
      <c r="W63" s="304">
        <f t="shared" ca="1" si="4"/>
        <v>10.6490135330213</v>
      </c>
      <c r="Y63" s="314" t="str">
        <f t="shared" ca="1" si="22"/>
        <v/>
      </c>
      <c r="Z63" s="315" t="str">
        <f t="shared" ca="1" si="23"/>
        <v/>
      </c>
      <c r="AA63" s="316" t="str">
        <f t="shared" ca="1" si="24"/>
        <v/>
      </c>
      <c r="AC63" s="310" t="e">
        <f t="shared" ca="1" si="25"/>
        <v>#N/A</v>
      </c>
      <c r="AD63" s="323" t="e">
        <f t="shared" ca="1" si="26"/>
        <v>#N/A</v>
      </c>
      <c r="AE63" s="324">
        <f t="shared" ca="1" si="5"/>
        <v>17.49184691361279</v>
      </c>
      <c r="AG63" s="306">
        <f t="shared" ca="1" si="27"/>
        <v>102.17523428690913</v>
      </c>
      <c r="AH63" s="304">
        <f t="shared" ca="1" si="28"/>
        <v>111.94300723064738</v>
      </c>
    </row>
    <row r="64" spans="1:34" x14ac:dyDescent="0.2">
      <c r="A64" s="347">
        <f t="shared" ca="1" si="6"/>
        <v>0.01</v>
      </c>
      <c r="B64" s="304">
        <f t="shared" ca="1" si="7"/>
        <v>0.60000000000000031</v>
      </c>
      <c r="D64" s="306">
        <f t="shared" ca="1" si="8"/>
        <v>10.37741395409868</v>
      </c>
      <c r="E64" s="307">
        <f t="shared" ca="1" si="9"/>
        <v>101.4931922928598</v>
      </c>
      <c r="F64" s="304">
        <f t="shared" ca="1" si="10"/>
        <v>102.02234462200003</v>
      </c>
      <c r="G64" s="306">
        <f t="shared" ca="1" si="11"/>
        <v>5.7735868664934564</v>
      </c>
      <c r="H64" s="307">
        <f t="shared" ca="1" si="12"/>
        <v>61.826638866858225</v>
      </c>
      <c r="I64" s="304">
        <f t="shared" ca="1" si="13"/>
        <v>62.095632526594407</v>
      </c>
      <c r="J64" s="306">
        <f t="shared" ca="1" si="14"/>
        <v>1.6337377400713895</v>
      </c>
      <c r="K64" s="307">
        <f t="shared" ca="1" si="15"/>
        <v>18.105038642666727</v>
      </c>
      <c r="L64" s="304">
        <f t="shared" ca="1" si="0"/>
        <v>18.178600695757336</v>
      </c>
      <c r="M64" s="306">
        <f t="shared" ca="1" si="16"/>
        <v>1.4776828819308814</v>
      </c>
      <c r="N64" s="304">
        <f t="shared" ca="1" si="17"/>
        <v>84.664992593367842</v>
      </c>
      <c r="P64" s="310">
        <f t="shared" ca="1" si="18"/>
        <v>3</v>
      </c>
      <c r="Q64" s="304">
        <f t="shared" ca="1" si="19"/>
        <v>786.79</v>
      </c>
      <c r="R64" s="306">
        <f t="shared" ca="1" si="20"/>
        <v>0.39485324310012287</v>
      </c>
      <c r="S64" s="307">
        <f t="shared" ca="1" si="21"/>
        <v>6.9431016386752624</v>
      </c>
      <c r="T64" s="304">
        <f t="shared" ca="1" si="1"/>
        <v>68.111827075404321</v>
      </c>
      <c r="U64" s="311">
        <f t="shared" ca="1" si="2"/>
        <v>0</v>
      </c>
      <c r="V64" s="306">
        <f t="shared" ca="1" si="3"/>
        <v>1.2227841386790157</v>
      </c>
      <c r="W64" s="304">
        <f t="shared" ca="1" si="4"/>
        <v>11.007064751620733</v>
      </c>
      <c r="Y64" s="314" t="str">
        <f t="shared" ca="1" si="22"/>
        <v/>
      </c>
      <c r="Z64" s="315" t="str">
        <f t="shared" ca="1" si="23"/>
        <v/>
      </c>
      <c r="AA64" s="316" t="str">
        <f t="shared" ca="1" si="24"/>
        <v/>
      </c>
      <c r="AC64" s="310" t="e">
        <f t="shared" ca="1" si="25"/>
        <v>#N/A</v>
      </c>
      <c r="AD64" s="323" t="e">
        <f t="shared" ca="1" si="26"/>
        <v>#N/A</v>
      </c>
      <c r="AE64" s="324">
        <f t="shared" ca="1" si="5"/>
        <v>18.105038642666727</v>
      </c>
      <c r="AG64" s="306">
        <f t="shared" ca="1" si="27"/>
        <v>102.01827995041225</v>
      </c>
      <c r="AH64" s="304">
        <f t="shared" ca="1" si="28"/>
        <v>111.78591742682103</v>
      </c>
    </row>
    <row r="65" spans="1:34" x14ac:dyDescent="0.2">
      <c r="A65" s="347">
        <f t="shared" ca="1" si="6"/>
        <v>0.01</v>
      </c>
      <c r="B65" s="304">
        <f t="shared" ca="1" si="7"/>
        <v>0.61000000000000032</v>
      </c>
      <c r="D65" s="306">
        <f t="shared" ca="1" si="8"/>
        <v>10.379034292607713</v>
      </c>
      <c r="E65" s="307">
        <f t="shared" ca="1" si="9"/>
        <v>101.33421932747797</v>
      </c>
      <c r="F65" s="304">
        <f t="shared" ca="1" si="10"/>
        <v>101.86436255902521</v>
      </c>
      <c r="G65" s="306">
        <f t="shared" ca="1" si="11"/>
        <v>5.8773772094195333</v>
      </c>
      <c r="H65" s="307">
        <f t="shared" ca="1" si="12"/>
        <v>62.839981060133006</v>
      </c>
      <c r="I65" s="304">
        <f t="shared" ca="1" si="13"/>
        <v>63.114235973349778</v>
      </c>
      <c r="J65" s="306">
        <f t="shared" ca="1" si="14"/>
        <v>1.6919925604509545</v>
      </c>
      <c r="K65" s="307">
        <f t="shared" ca="1" si="15"/>
        <v>18.728371742301682</v>
      </c>
      <c r="L65" s="304">
        <f t="shared" ca="1" si="0"/>
        <v>18.804646950753039</v>
      </c>
      <c r="M65" s="306">
        <f t="shared" ca="1" si="16"/>
        <v>1.4775383624713601</v>
      </c>
      <c r="N65" s="304">
        <f t="shared" ca="1" si="17"/>
        <v>84.656712238279752</v>
      </c>
      <c r="P65" s="310">
        <f t="shared" ca="1" si="18"/>
        <v>3</v>
      </c>
      <c r="Q65" s="304">
        <f t="shared" ca="1" si="19"/>
        <v>785.61</v>
      </c>
      <c r="R65" s="306">
        <f t="shared" ca="1" si="20"/>
        <v>0.39426105607835321</v>
      </c>
      <c r="S65" s="307">
        <f t="shared" ca="1" si="21"/>
        <v>6.9391590281144788</v>
      </c>
      <c r="T65" s="304">
        <f t="shared" ca="1" si="1"/>
        <v>68.073150065803034</v>
      </c>
      <c r="U65" s="311">
        <f t="shared" ca="1" si="2"/>
        <v>0</v>
      </c>
      <c r="V65" s="306">
        <f t="shared" ca="1" si="3"/>
        <v>1.2227079208071274</v>
      </c>
      <c r="W65" s="304">
        <f t="shared" ca="1" si="4"/>
        <v>11.370432861245254</v>
      </c>
      <c r="Y65" s="314" t="str">
        <f t="shared" ca="1" si="22"/>
        <v/>
      </c>
      <c r="Z65" s="315" t="str">
        <f t="shared" ca="1" si="23"/>
        <v/>
      </c>
      <c r="AA65" s="316" t="str">
        <f t="shared" ca="1" si="24"/>
        <v/>
      </c>
      <c r="AC65" s="310" t="e">
        <f t="shared" ca="1" si="25"/>
        <v>#N/A</v>
      </c>
      <c r="AD65" s="323" t="e">
        <f t="shared" ca="1" si="26"/>
        <v>#N/A</v>
      </c>
      <c r="AE65" s="324">
        <f t="shared" ca="1" si="5"/>
        <v>18.728371742301682</v>
      </c>
      <c r="AG65" s="306">
        <f t="shared" ca="1" si="27"/>
        <v>101.86027876573696</v>
      </c>
      <c r="AH65" s="304">
        <f t="shared" ca="1" si="28"/>
        <v>111.62778257567268</v>
      </c>
    </row>
    <row r="66" spans="1:34" x14ac:dyDescent="0.2">
      <c r="A66" s="347">
        <f t="shared" ca="1" si="6"/>
        <v>0.01</v>
      </c>
      <c r="B66" s="304">
        <f t="shared" ca="1" si="7"/>
        <v>0.62000000000000033</v>
      </c>
      <c r="D66" s="306">
        <f t="shared" ca="1" si="8"/>
        <v>10.380273720001425</v>
      </c>
      <c r="E66" s="307">
        <f t="shared" ca="1" si="9"/>
        <v>101.17423339554702</v>
      </c>
      <c r="F66" s="304">
        <f t="shared" ca="1" si="10"/>
        <v>101.70533705602068</v>
      </c>
      <c r="G66" s="306">
        <f t="shared" ca="1" si="11"/>
        <v>5.9811799466195472</v>
      </c>
      <c r="H66" s="307">
        <f t="shared" ca="1" si="12"/>
        <v>63.851723394088474</v>
      </c>
      <c r="I66" s="304">
        <f t="shared" ca="1" si="13"/>
        <v>64.131248966077607</v>
      </c>
      <c r="J66" s="306">
        <f t="shared" ca="1" si="14"/>
        <v>1.75128534623115</v>
      </c>
      <c r="K66" s="307">
        <f t="shared" ca="1" si="15"/>
        <v>19.361830264572792</v>
      </c>
      <c r="L66" s="304">
        <f t="shared" ca="1" si="0"/>
        <v>19.440871162528978</v>
      </c>
      <c r="M66" s="306">
        <f t="shared" ca="1" si="16"/>
        <v>1.4773959147369746</v>
      </c>
      <c r="N66" s="304">
        <f t="shared" ca="1" si="17"/>
        <v>84.648550584298263</v>
      </c>
      <c r="P66" s="310">
        <f t="shared" ca="1" si="18"/>
        <v>3</v>
      </c>
      <c r="Q66" s="304">
        <f t="shared" ca="1" si="19"/>
        <v>784.43</v>
      </c>
      <c r="R66" s="306">
        <f t="shared" ca="1" si="20"/>
        <v>0.39366886905658355</v>
      </c>
      <c r="S66" s="307">
        <f t="shared" ca="1" si="21"/>
        <v>6.9352223394239134</v>
      </c>
      <c r="T66" s="304">
        <f t="shared" ca="1" si="1"/>
        <v>68.034531149748588</v>
      </c>
      <c r="U66" s="311">
        <f t="shared" ca="1" si="2"/>
        <v>0</v>
      </c>
      <c r="V66" s="306">
        <f t="shared" ca="1" si="3"/>
        <v>1.2226304697147492</v>
      </c>
      <c r="W66" s="304">
        <f t="shared" ca="1" si="4"/>
        <v>11.739084392817805</v>
      </c>
      <c r="Y66" s="314" t="str">
        <f t="shared" ca="1" si="22"/>
        <v/>
      </c>
      <c r="Z66" s="315" t="str">
        <f t="shared" ca="1" si="23"/>
        <v/>
      </c>
      <c r="AA66" s="316" t="str">
        <f t="shared" ca="1" si="24"/>
        <v/>
      </c>
      <c r="AC66" s="310" t="e">
        <f t="shared" ca="1" si="25"/>
        <v>#N/A</v>
      </c>
      <c r="AD66" s="323" t="e">
        <f t="shared" ca="1" si="26"/>
        <v>#N/A</v>
      </c>
      <c r="AE66" s="324">
        <f t="shared" ca="1" si="5"/>
        <v>19.361830264572792</v>
      </c>
      <c r="AG66" s="306">
        <f t="shared" ca="1" si="27"/>
        <v>101.70123420727907</v>
      </c>
      <c r="AH66" s="304">
        <f t="shared" ca="1" si="28"/>
        <v>111.46860609561513</v>
      </c>
    </row>
    <row r="67" spans="1:34" x14ac:dyDescent="0.2">
      <c r="A67" s="347">
        <f t="shared" ca="1" si="6"/>
        <v>0.01</v>
      </c>
      <c r="B67" s="304">
        <f t="shared" ca="1" si="7"/>
        <v>0.63000000000000034</v>
      </c>
      <c r="D67" s="306">
        <f t="shared" ca="1" si="8"/>
        <v>10.381140700604735</v>
      </c>
      <c r="E67" s="307">
        <f t="shared" ca="1" si="9"/>
        <v>101.01323729530328</v>
      </c>
      <c r="F67" s="304">
        <f t="shared" ca="1" si="10"/>
        <v>101.54527163350838</v>
      </c>
      <c r="G67" s="306">
        <f t="shared" ca="1" si="11"/>
        <v>6.0849913536255942</v>
      </c>
      <c r="H67" s="307">
        <f t="shared" ca="1" si="12"/>
        <v>64.861855767041504</v>
      </c>
      <c r="I67" s="304">
        <f t="shared" ca="1" si="13"/>
        <v>65.14666110644653</v>
      </c>
      <c r="J67" s="306">
        <f t="shared" ca="1" si="14"/>
        <v>1.8116162027323757</v>
      </c>
      <c r="K67" s="307">
        <f t="shared" ca="1" si="15"/>
        <v>20.005398160378441</v>
      </c>
      <c r="L67" s="304">
        <f t="shared" ca="1" si="0"/>
        <v>20.087257374297657</v>
      </c>
      <c r="M67" s="306">
        <f t="shared" ca="1" si="16"/>
        <v>1.4772554737033199</v>
      </c>
      <c r="N67" s="304">
        <f t="shared" ca="1" si="17"/>
        <v>84.640503905799392</v>
      </c>
      <c r="P67" s="310">
        <f t="shared" ca="1" si="18"/>
        <v>3</v>
      </c>
      <c r="Q67" s="304">
        <f t="shared" ca="1" si="19"/>
        <v>783.25</v>
      </c>
      <c r="R67" s="306">
        <f t="shared" ca="1" si="20"/>
        <v>0.39307668203481394</v>
      </c>
      <c r="S67" s="307">
        <f t="shared" ca="1" si="21"/>
        <v>6.9312915726035653</v>
      </c>
      <c r="T67" s="304">
        <f t="shared" ca="1" si="1"/>
        <v>67.995970327240983</v>
      </c>
      <c r="U67" s="311">
        <f t="shared" ca="1" si="2"/>
        <v>0</v>
      </c>
      <c r="V67" s="306">
        <f t="shared" ca="1" si="3"/>
        <v>1.2225517875985474</v>
      </c>
      <c r="W67" s="304">
        <f t="shared" ca="1" si="4"/>
        <v>12.112985669518462</v>
      </c>
      <c r="Y67" s="314" t="str">
        <f t="shared" ca="1" si="22"/>
        <v/>
      </c>
      <c r="Z67" s="315" t="str">
        <f t="shared" ca="1" si="23"/>
        <v/>
      </c>
      <c r="AA67" s="316" t="str">
        <f t="shared" ca="1" si="24"/>
        <v/>
      </c>
      <c r="AC67" s="310" t="e">
        <f t="shared" ca="1" si="25"/>
        <v>#N/A</v>
      </c>
      <c r="AD67" s="323" t="e">
        <f t="shared" ca="1" si="26"/>
        <v>#N/A</v>
      </c>
      <c r="AE67" s="324">
        <f t="shared" ca="1" si="5"/>
        <v>20.005398160378441</v>
      </c>
      <c r="AG67" s="306">
        <f t="shared" ca="1" si="27"/>
        <v>101.54114979028617</v>
      </c>
      <c r="AH67" s="304">
        <f t="shared" ca="1" si="28"/>
        <v>111.30839144851953</v>
      </c>
    </row>
    <row r="68" spans="1:34" x14ac:dyDescent="0.2">
      <c r="A68" s="347">
        <f t="shared" ca="1" si="6"/>
        <v>0.01</v>
      </c>
      <c r="B68" s="304">
        <f t="shared" ca="1" si="7"/>
        <v>0.64000000000000035</v>
      </c>
      <c r="D68" s="306">
        <f t="shared" ca="1" si="8"/>
        <v>10.381643316970012</v>
      </c>
      <c r="E68" s="307">
        <f t="shared" ca="1" si="9"/>
        <v>100.85123389788646</v>
      </c>
      <c r="F68" s="304">
        <f t="shared" ca="1" si="10"/>
        <v>101.38416985253166</v>
      </c>
      <c r="G68" s="306">
        <f t="shared" ca="1" si="11"/>
        <v>6.1888077867952944</v>
      </c>
      <c r="H68" s="307">
        <f t="shared" ca="1" si="12"/>
        <v>65.870368106020365</v>
      </c>
      <c r="I68" s="304">
        <f t="shared" ca="1" si="13"/>
        <v>66.160462031673589</v>
      </c>
      <c r="J68" s="306">
        <f t="shared" ca="1" si="14"/>
        <v>1.8729851984344801</v>
      </c>
      <c r="K68" s="307">
        <f t="shared" ca="1" si="15"/>
        <v>20.659059279743751</v>
      </c>
      <c r="L68" s="304">
        <f t="shared" ref="L68:L131" ca="1" si="29">SQRT(pos_x^2+pos_z^2)</f>
        <v>20.743789525482587</v>
      </c>
      <c r="M68" s="306">
        <f t="shared" ca="1" si="16"/>
        <v>1.4771169773677799</v>
      </c>
      <c r="N68" s="304">
        <f t="shared" ca="1" si="17"/>
        <v>84.632568650294928</v>
      </c>
      <c r="P68" s="310">
        <f t="shared" ca="1" si="18"/>
        <v>3</v>
      </c>
      <c r="Q68" s="304">
        <f t="shared" ca="1" si="19"/>
        <v>782.06999999999994</v>
      </c>
      <c r="R68" s="306">
        <f t="shared" ca="1" si="20"/>
        <v>0.39248449501304422</v>
      </c>
      <c r="S68" s="307">
        <f t="shared" ca="1" si="21"/>
        <v>6.9273667276534345</v>
      </c>
      <c r="T68" s="304">
        <f t="shared" ref="T68:T131" ca="1" si="30">m*g</f>
        <v>67.957467598280189</v>
      </c>
      <c r="U68" s="311">
        <f t="shared" ref="U68:U131" ca="1" si="31">IF(pos_xz&lt;L_rampe,Poids*COS(Beta),0)</f>
        <v>0</v>
      </c>
      <c r="V68" s="306">
        <f t="shared" ref="V68:V131" ca="1" si="32">Rho_moyen*(20000-Alt_rampe-pos_z)/(20000+Alt_rampe+pos_z)</f>
        <v>1.2224718766707179</v>
      </c>
      <c r="W68" s="304">
        <f t="shared" ref="W68:W131" ca="1" si="33">1/2*Rho*Sref*Cx*vit_xz^2</f>
        <v>12.49210280940116</v>
      </c>
      <c r="Y68" s="314" t="str">
        <f t="shared" ca="1" si="22"/>
        <v/>
      </c>
      <c r="Z68" s="315" t="str">
        <f t="shared" ca="1" si="23"/>
        <v/>
      </c>
      <c r="AA68" s="316" t="str">
        <f t="shared" ca="1" si="24"/>
        <v/>
      </c>
      <c r="AC68" s="310" t="e">
        <f t="shared" ca="1" si="25"/>
        <v>#N/A</v>
      </c>
      <c r="AD68" s="323" t="e">
        <f t="shared" ca="1" si="26"/>
        <v>#N/A</v>
      </c>
      <c r="AE68" s="324">
        <f t="shared" ref="AE68:AE131" ca="1" si="34">IF(t&lt;T_para, pos_z, NA())</f>
        <v>20.659059279743751</v>
      </c>
      <c r="AG68" s="306">
        <f t="shared" ca="1" si="27"/>
        <v>101.380029070738</v>
      </c>
      <c r="AH68" s="304">
        <f t="shared" ca="1" si="28"/>
        <v>111.14714213943391</v>
      </c>
    </row>
    <row r="69" spans="1:34" x14ac:dyDescent="0.2">
      <c r="A69" s="347">
        <f t="shared" ref="A69:A132" ca="1" si="35">IF(B68+0.01&lt;=T_ini+ROUNDUP(Temps_fin_propu,0), 0.01, IF(K68&gt;0, 0.1, 0.0001))</f>
        <v>0.01</v>
      </c>
      <c r="B69" s="304">
        <f t="shared" ref="B69:B132" ca="1" si="36">B68+pas</f>
        <v>0.65000000000000036</v>
      </c>
      <c r="D69" s="306">
        <f t="shared" ref="D69:D132" ca="1" si="37">IF(AND(L68&lt;L_rampe,Poussee&lt;Poids*SIN(M68)),0,(-W68+Poussee)/m*COS(M68)-U68/m*SIN(M68))</f>
        <v>10.381789293995476</v>
      </c>
      <c r="E69" s="307">
        <f t="shared" ref="E69:E132" ca="1" si="38">IF(AND(L68&lt;L_rampe,Poussee&lt;Poids*SIN(M68)),0,(-W68+Poussee)/m*SIN(M68)+U68/m*COS(M68)-Poids/m)</f>
        <v>100.68822614522304</v>
      </c>
      <c r="F69" s="304">
        <f t="shared" ref="F69:F132" ca="1" si="39">SQRT(acc_x^2+acc_z^2)</f>
        <v>101.22203531453265</v>
      </c>
      <c r="G69" s="306">
        <f t="shared" ref="G69:G132" ca="1" si="40">G68+acc_x*pas</f>
        <v>6.2926256797352496</v>
      </c>
      <c r="H69" s="307">
        <f t="shared" ref="H69:H132" ca="1" si="41">H68+acc_z*pas</f>
        <v>66.877250367472598</v>
      </c>
      <c r="I69" s="304">
        <f t="shared" ref="I69:I132" ca="1" si="42">SQRT(vit_x^2+vit_z^2)</f>
        <v>67.172641414930808</v>
      </c>
      <c r="J69" s="306">
        <f t="shared" ref="J69:J132" ca="1" si="43">J68+0.5*(vit_x+G68)*pas*(K68&gt;=0)</f>
        <v>1.9353923657671328</v>
      </c>
      <c r="K69" s="307">
        <f t="shared" ref="K69:K132" ca="1" si="44">K68+0.5*(vit_z+H68)*pas</f>
        <v>21.322797372111214</v>
      </c>
      <c r="L69" s="304">
        <f t="shared" ca="1" si="29"/>
        <v>21.410451452073179</v>
      </c>
      <c r="M69" s="306">
        <f t="shared" ref="M69:M132" ca="1" si="45">IF(AND(L68&gt;L_rampe,G69&gt;0),ATAN2(G69,H69),$M$4)</f>
        <v>1.4769803665637271</v>
      </c>
      <c r="N69" s="304">
        <f t="shared" ref="N69:N132" ca="1" si="46">DEGREES(Beta)</f>
        <v>84.624741427786816</v>
      </c>
      <c r="P69" s="310">
        <f t="shared" ref="P69:P132" ca="1" si="47">MATCH(t-pas/2-T_ini,CdP_t)</f>
        <v>3</v>
      </c>
      <c r="Q69" s="304">
        <f t="shared" ref="Q69:Q132" ca="1" si="48">(INDEX(CdP,2,i_P+1)-INDEX(CdP,2,i_P+0))/(INDEX(CdP,1,i_P+1)-INDEX(CdP,1,i_P+0))*(t-pas/2-T_ini-INDEX(CdP,1,i_P+0))+INDEX(CdP,2,i_P+0)</f>
        <v>780.89</v>
      </c>
      <c r="R69" s="306">
        <f t="shared" ref="R69:R132" ca="1" si="49">Poussee/(g*ISP)</f>
        <v>0.39189230799127461</v>
      </c>
      <c r="S69" s="307">
        <f t="shared" ref="S69:S132" ca="1" si="50">S68-Débit*pas</f>
        <v>6.9234478045735219</v>
      </c>
      <c r="T69" s="304">
        <f t="shared" ca="1" si="30"/>
        <v>67.919022962866251</v>
      </c>
      <c r="U69" s="311">
        <f t="shared" ca="1" si="31"/>
        <v>0</v>
      </c>
      <c r="V69" s="306">
        <f t="shared" ca="1" si="32"/>
        <v>1.2223907391589266</v>
      </c>
      <c r="W69" s="304">
        <f t="shared" ca="1" si="33"/>
        <v>12.876401728027094</v>
      </c>
      <c r="Y69" s="314" t="str">
        <f t="shared" ref="Y69:Y132" ca="1" si="51">IF(AND(pos_z&lt;=0,K68&gt;0),"Impact balistique","") &amp; IF(AND(H70&lt;0,vit_z&gt;=0),"Apogée","") &amp; IF(AND(Poussee=0,Q68&gt;0),"Fin de propulsion","") &amp; IF(AND(L70&gt;L_rampe,pos_xz&lt;=L_rampe),"Sortie de rampe","")</f>
        <v/>
      </c>
      <c r="Z69" s="315" t="str">
        <f t="shared" ref="Z69:Z132" ca="1" si="52">IF(ABS(t-T_para)&lt;pas/2,"Para","")</f>
        <v/>
      </c>
      <c r="AA69" s="316" t="str">
        <f t="shared" ref="AA69:AA132" ca="1" si="53">IF(ABS(t-T_satellite)&lt;pas/2,"Satellite","")</f>
        <v/>
      </c>
      <c r="AC69" s="310" t="e">
        <f t="shared" ref="AC69:AC132" ca="1" si="54">IF(ABS(t-ROUND(t,0))&lt;0.001,t,NA())</f>
        <v>#N/A</v>
      </c>
      <c r="AD69" s="323" t="e">
        <f t="shared" ref="AD69:AD132" ca="1" si="55">IF(ABS(t-ROUND(t,0))&lt;0.001,pos_x,NA())</f>
        <v>#N/A</v>
      </c>
      <c r="AE69" s="324">
        <f t="shared" ca="1" si="34"/>
        <v>21.322797372111214</v>
      </c>
      <c r="AG69" s="306">
        <f t="shared" ref="AG69:AG132" ca="1" si="56">IF(AND(L68&lt;L_rampe,Poussee&lt;Poids*SIN(M68)),0,(-W68+Poussee)/m-Poids*SIN(M68)/m)</f>
        <v>101.21787564521057</v>
      </c>
      <c r="AH69" s="304">
        <f t="shared" ref="AH69:AH132" ca="1" si="57">IF(AND(L68&lt;L_rampe,Poussee&lt;Poids*SIN(M68)), g*SIN(M68), (-W68+Poussee)/m)</f>
        <v>110.98486171629793</v>
      </c>
    </row>
    <row r="70" spans="1:34" x14ac:dyDescent="0.2">
      <c r="A70" s="347">
        <f t="shared" ca="1" si="35"/>
        <v>0.01</v>
      </c>
      <c r="B70" s="304">
        <f t="shared" ca="1" si="36"/>
        <v>0.66000000000000036</v>
      </c>
      <c r="D70" s="306">
        <f t="shared" ca="1" si="37"/>
        <v>10.381586021181482</v>
      </c>
      <c r="E70" s="307">
        <f t="shared" ca="1" si="38"/>
        <v>100.52421704804453</v>
      </c>
      <c r="F70" s="304">
        <f t="shared" ca="1" si="39"/>
        <v>101.05887166121319</v>
      </c>
      <c r="G70" s="306">
        <f t="shared" ca="1" si="40"/>
        <v>6.3964415399470642</v>
      </c>
      <c r="H70" s="307">
        <f t="shared" ca="1" si="41"/>
        <v>67.882492537953041</v>
      </c>
      <c r="I70" s="304">
        <f t="shared" ca="1" si="42"/>
        <v>68.183188965750276</v>
      </c>
      <c r="J70" s="306">
        <f t="shared" ca="1" si="43"/>
        <v>1.9988377018655443</v>
      </c>
      <c r="K70" s="307">
        <f t="shared" ca="1" si="44"/>
        <v>21.996596086638341</v>
      </c>
      <c r="L70" s="304">
        <f t="shared" ca="1" si="29"/>
        <v>22.087226886984077</v>
      </c>
      <c r="M70" s="306">
        <f t="shared" ca="1" si="45"/>
        <v>1.476845584788846</v>
      </c>
      <c r="N70" s="304">
        <f t="shared" ca="1" si="46"/>
        <v>84.617019000930839</v>
      </c>
      <c r="P70" s="310">
        <f t="shared" ca="1" si="47"/>
        <v>3</v>
      </c>
      <c r="Q70" s="304">
        <f t="shared" ca="1" si="48"/>
        <v>779.70999999999992</v>
      </c>
      <c r="R70" s="306">
        <f t="shared" ca="1" si="49"/>
        <v>0.39130012096950489</v>
      </c>
      <c r="S70" s="307">
        <f t="shared" ca="1" si="50"/>
        <v>6.9195348033638266</v>
      </c>
      <c r="T70" s="304">
        <f t="shared" ca="1" si="30"/>
        <v>67.880636420999139</v>
      </c>
      <c r="U70" s="311">
        <f t="shared" ca="1" si="31"/>
        <v>0</v>
      </c>
      <c r="V70" s="306">
        <f t="shared" ca="1" si="32"/>
        <v>1.2223083773062473</v>
      </c>
      <c r="W70" s="304">
        <f t="shared" ca="1" si="33"/>
        <v>13.265848141114382</v>
      </c>
      <c r="Y70" s="314" t="str">
        <f t="shared" ca="1" si="51"/>
        <v/>
      </c>
      <c r="Z70" s="315" t="str">
        <f t="shared" ca="1" si="52"/>
        <v/>
      </c>
      <c r="AA70" s="316" t="str">
        <f t="shared" ca="1" si="53"/>
        <v/>
      </c>
      <c r="AC70" s="310" t="e">
        <f t="shared" ca="1" si="54"/>
        <v>#N/A</v>
      </c>
      <c r="AD70" s="323" t="e">
        <f t="shared" ca="1" si="55"/>
        <v>#N/A</v>
      </c>
      <c r="AE70" s="324">
        <f t="shared" ca="1" si="34"/>
        <v>21.996596086638341</v>
      </c>
      <c r="AG70" s="306">
        <f t="shared" ca="1" si="56"/>
        <v>101.05469315072477</v>
      </c>
      <c r="AH70" s="304">
        <f t="shared" ca="1" si="57"/>
        <v>110.82155376965346</v>
      </c>
    </row>
    <row r="71" spans="1:34" x14ac:dyDescent="0.2">
      <c r="A71" s="347">
        <f t="shared" ca="1" si="35"/>
        <v>0.01</v>
      </c>
      <c r="B71" s="304">
        <f t="shared" ca="1" si="36"/>
        <v>0.67000000000000037</v>
      </c>
      <c r="D71" s="306">
        <f t="shared" ca="1" si="37"/>
        <v>10.381040573194406</v>
      </c>
      <c r="E71" s="307">
        <f t="shared" ca="1" si="38"/>
        <v>100.35920968402829</v>
      </c>
      <c r="F71" s="304">
        <f t="shared" ca="1" si="39"/>
        <v>100.89468257438082</v>
      </c>
      <c r="G71" s="306">
        <f t="shared" ca="1" si="40"/>
        <v>6.5002519456790084</v>
      </c>
      <c r="H71" s="307">
        <f t="shared" ca="1" si="41"/>
        <v>68.88608463479332</v>
      </c>
      <c r="I71" s="304">
        <f t="shared" ca="1" si="42"/>
        <v>69.192094430427616</v>
      </c>
      <c r="J71" s="306">
        <f t="shared" ca="1" si="43"/>
        <v>2.0633211692936748</v>
      </c>
      <c r="K71" s="307">
        <f t="shared" ca="1" si="44"/>
        <v>22.680438972502074</v>
      </c>
      <c r="L71" s="304">
        <f t="shared" ca="1" si="29"/>
        <v>22.774099460418768</v>
      </c>
      <c r="M71" s="306">
        <f t="shared" ca="1" si="45"/>
        <v>1.4767125780463055</v>
      </c>
      <c r="N71" s="304">
        <f t="shared" ca="1" si="46"/>
        <v>84.609398275936499</v>
      </c>
      <c r="P71" s="310">
        <f t="shared" ca="1" si="47"/>
        <v>3</v>
      </c>
      <c r="Q71" s="304">
        <f t="shared" ca="1" si="48"/>
        <v>778.53</v>
      </c>
      <c r="R71" s="306">
        <f t="shared" ca="1" si="49"/>
        <v>0.39070793394773529</v>
      </c>
      <c r="S71" s="307">
        <f t="shared" ca="1" si="50"/>
        <v>6.9156277240243496</v>
      </c>
      <c r="T71" s="304">
        <f t="shared" ca="1" si="30"/>
        <v>67.842307972678867</v>
      </c>
      <c r="U71" s="311">
        <f t="shared" ca="1" si="31"/>
        <v>0</v>
      </c>
      <c r="V71" s="306">
        <f t="shared" ca="1" si="32"/>
        <v>1.2222247933710979</v>
      </c>
      <c r="W71" s="304">
        <f t="shared" ca="1" si="33"/>
        <v>13.660407567203746</v>
      </c>
      <c r="Y71" s="314" t="str">
        <f t="shared" ca="1" si="51"/>
        <v/>
      </c>
      <c r="Z71" s="315" t="str">
        <f t="shared" ca="1" si="52"/>
        <v/>
      </c>
      <c r="AA71" s="316" t="str">
        <f t="shared" ca="1" si="53"/>
        <v/>
      </c>
      <c r="AC71" s="310" t="e">
        <f t="shared" ca="1" si="54"/>
        <v>#N/A</v>
      </c>
      <c r="AD71" s="323" t="e">
        <f t="shared" ca="1" si="55"/>
        <v>#N/A</v>
      </c>
      <c r="AE71" s="324">
        <f t="shared" ca="1" si="34"/>
        <v>22.680438972502074</v>
      </c>
      <c r="AG71" s="306">
        <f t="shared" ca="1" si="56"/>
        <v>100.89048526458102</v>
      </c>
      <c r="AH71" s="304">
        <f t="shared" ca="1" si="57"/>
        <v>110.65722193235153</v>
      </c>
    </row>
    <row r="72" spans="1:34" x14ac:dyDescent="0.2">
      <c r="A72" s="347">
        <f t="shared" ca="1" si="35"/>
        <v>0.01</v>
      </c>
      <c r="B72" s="304">
        <f t="shared" ca="1" si="36"/>
        <v>0.68000000000000038</v>
      </c>
      <c r="D72" s="306">
        <f t="shared" ca="1" si="37"/>
        <v>10.380159728890884</v>
      </c>
      <c r="E72" s="307">
        <f t="shared" ca="1" si="38"/>
        <v>100.19320719604939</v>
      </c>
      <c r="F72" s="304">
        <f t="shared" ca="1" si="39"/>
        <v>100.72947177578055</v>
      </c>
      <c r="G72" s="306">
        <f t="shared" ca="1" si="40"/>
        <v>6.6040535429679172</v>
      </c>
      <c r="H72" s="307">
        <f t="shared" ca="1" si="41"/>
        <v>69.888016706753817</v>
      </c>
      <c r="I72" s="304">
        <f t="shared" ca="1" si="42"/>
        <v>70.19934759242345</v>
      </c>
      <c r="J72" s="306">
        <f t="shared" ca="1" si="43"/>
        <v>2.1288426967369096</v>
      </c>
      <c r="K72" s="307">
        <f t="shared" ca="1" si="44"/>
        <v>23.37430947920981</v>
      </c>
      <c r="L72" s="304">
        <f t="shared" ca="1" si="29"/>
        <v>23.471052700237536</v>
      </c>
      <c r="M72" s="306">
        <f t="shared" ca="1" si="45"/>
        <v>1.4765812946976418</v>
      </c>
      <c r="N72" s="304">
        <f t="shared" ca="1" si="46"/>
        <v>84.60187629413771</v>
      </c>
      <c r="P72" s="310">
        <f t="shared" ca="1" si="47"/>
        <v>3</v>
      </c>
      <c r="Q72" s="304">
        <f t="shared" ca="1" si="48"/>
        <v>777.34999999999991</v>
      </c>
      <c r="R72" s="306">
        <f t="shared" ca="1" si="49"/>
        <v>0.39011574692596562</v>
      </c>
      <c r="S72" s="307">
        <f t="shared" ca="1" si="50"/>
        <v>6.9117265665550898</v>
      </c>
      <c r="T72" s="304">
        <f t="shared" ca="1" si="30"/>
        <v>67.804037617905436</v>
      </c>
      <c r="U72" s="311">
        <f t="shared" ca="1" si="31"/>
        <v>0</v>
      </c>
      <c r="V72" s="306">
        <f t="shared" ca="1" si="32"/>
        <v>1.2221399896271756</v>
      </c>
      <c r="W72" s="304">
        <f t="shared" ca="1" si="33"/>
        <v>14.060045330339673</v>
      </c>
      <c r="Y72" s="314" t="str">
        <f t="shared" ca="1" si="51"/>
        <v/>
      </c>
      <c r="Z72" s="315" t="str">
        <f t="shared" ca="1" si="52"/>
        <v/>
      </c>
      <c r="AA72" s="316" t="str">
        <f t="shared" ca="1" si="53"/>
        <v/>
      </c>
      <c r="AC72" s="310" t="e">
        <f t="shared" ca="1" si="54"/>
        <v>#N/A</v>
      </c>
      <c r="AD72" s="323" t="e">
        <f t="shared" ca="1" si="55"/>
        <v>#N/A</v>
      </c>
      <c r="AE72" s="324">
        <f t="shared" ca="1" si="34"/>
        <v>23.37430947920981</v>
      </c>
      <c r="AG72" s="306">
        <f t="shared" ca="1" si="56"/>
        <v>100.72525570418048</v>
      </c>
      <c r="AH72" s="304">
        <f t="shared" ca="1" si="57"/>
        <v>110.49186987925519</v>
      </c>
    </row>
    <row r="73" spans="1:34" x14ac:dyDescent="0.2">
      <c r="A73" s="347">
        <f t="shared" ca="1" si="35"/>
        <v>0.01</v>
      </c>
      <c r="B73" s="304">
        <f t="shared" ca="1" si="36"/>
        <v>0.69000000000000039</v>
      </c>
      <c r="D73" s="306">
        <f t="shared" ca="1" si="37"/>
        <v>10.378949988938617</v>
      </c>
      <c r="E73" s="307">
        <f t="shared" ca="1" si="38"/>
        <v>100.02621279053399</v>
      </c>
      <c r="F73" s="304">
        <f t="shared" ca="1" si="39"/>
        <v>100.56324302691354</v>
      </c>
      <c r="G73" s="306">
        <f t="shared" ca="1" si="40"/>
        <v>6.707843042857303</v>
      </c>
      <c r="H73" s="307">
        <f t="shared" ca="1" si="41"/>
        <v>70.888278834659161</v>
      </c>
      <c r="I73" s="304">
        <f t="shared" ca="1" si="42"/>
        <v>71.204938272763044</v>
      </c>
      <c r="J73" s="306">
        <f t="shared" ca="1" si="43"/>
        <v>2.1954021796660359</v>
      </c>
      <c r="K73" s="307">
        <f t="shared" ca="1" si="44"/>
        <v>24.078190956916874</v>
      </c>
      <c r="L73" s="304">
        <f t="shared" ca="1" si="29"/>
        <v>24.178070032329629</v>
      </c>
      <c r="M73" s="306">
        <f t="shared" ca="1" si="45"/>
        <v>1.4764516853263279</v>
      </c>
      <c r="N73" s="304">
        <f t="shared" ca="1" si="46"/>
        <v>84.594450224176086</v>
      </c>
      <c r="P73" s="310">
        <f t="shared" ca="1" si="47"/>
        <v>3</v>
      </c>
      <c r="Q73" s="304">
        <f t="shared" ca="1" si="48"/>
        <v>776.17</v>
      </c>
      <c r="R73" s="306">
        <f t="shared" ca="1" si="49"/>
        <v>0.38952355990419596</v>
      </c>
      <c r="S73" s="307">
        <f t="shared" ca="1" si="50"/>
        <v>6.9078313309560482</v>
      </c>
      <c r="T73" s="304">
        <f t="shared" ca="1" si="30"/>
        <v>67.765825356678832</v>
      </c>
      <c r="U73" s="311">
        <f t="shared" ca="1" si="31"/>
        <v>0</v>
      </c>
      <c r="V73" s="306">
        <f t="shared" ca="1" si="32"/>
        <v>1.2220539683633935</v>
      </c>
      <c r="W73" s="304">
        <f t="shared" ca="1" si="33"/>
        <v>14.464726562766863</v>
      </c>
      <c r="Y73" s="314" t="str">
        <f t="shared" ca="1" si="51"/>
        <v/>
      </c>
      <c r="Z73" s="315" t="str">
        <f t="shared" ca="1" si="52"/>
        <v/>
      </c>
      <c r="AA73" s="316" t="str">
        <f t="shared" ca="1" si="53"/>
        <v/>
      </c>
      <c r="AC73" s="310" t="e">
        <f t="shared" ca="1" si="54"/>
        <v>#N/A</v>
      </c>
      <c r="AD73" s="323" t="e">
        <f t="shared" ca="1" si="55"/>
        <v>#N/A</v>
      </c>
      <c r="AE73" s="324">
        <f t="shared" ca="1" si="34"/>
        <v>24.078190956916874</v>
      </c>
      <c r="AG73" s="306">
        <f t="shared" ca="1" si="56"/>
        <v>100.55900822683401</v>
      </c>
      <c r="AH73" s="304">
        <f t="shared" ca="1" si="57"/>
        <v>110.32550132693871</v>
      </c>
    </row>
    <row r="74" spans="1:34" x14ac:dyDescent="0.2">
      <c r="A74" s="347">
        <f t="shared" ca="1" si="35"/>
        <v>0.01</v>
      </c>
      <c r="B74" s="304">
        <f t="shared" ca="1" si="36"/>
        <v>0.7000000000000004</v>
      </c>
      <c r="D74" s="306">
        <f t="shared" ca="1" si="37"/>
        <v>10.377417592156199</v>
      </c>
      <c r="E74" s="307">
        <f t="shared" ca="1" si="38"/>
        <v>99.858229735904985</v>
      </c>
      <c r="F74" s="304">
        <f t="shared" ca="1" si="39"/>
        <v>100.39600012884364</v>
      </c>
      <c r="G74" s="306">
        <f t="shared" ca="1" si="40"/>
        <v>6.8116172187788653</v>
      </c>
      <c r="H74" s="307">
        <f t="shared" ca="1" si="41"/>
        <v>71.886861132018211</v>
      </c>
      <c r="I74" s="304">
        <f t="shared" ca="1" si="42"/>
        <v>72.208856330433832</v>
      </c>
      <c r="J74" s="306">
        <f t="shared" ca="1" si="43"/>
        <v>2.2629994809742167</v>
      </c>
      <c r="K74" s="307">
        <f t="shared" ca="1" si="44"/>
        <v>24.792066656750261</v>
      </c>
      <c r="L74" s="304">
        <f t="shared" ca="1" si="29"/>
        <v>24.89513478098959</v>
      </c>
      <c r="M74" s="306">
        <f t="shared" ca="1" si="45"/>
        <v>1.4763237026111073</v>
      </c>
      <c r="N74" s="304">
        <f t="shared" ca="1" si="46"/>
        <v>84.587117354743327</v>
      </c>
      <c r="P74" s="310">
        <f t="shared" ca="1" si="47"/>
        <v>3</v>
      </c>
      <c r="Q74" s="304">
        <f t="shared" ca="1" si="48"/>
        <v>774.99</v>
      </c>
      <c r="R74" s="306">
        <f t="shared" ca="1" si="49"/>
        <v>0.38893137288242635</v>
      </c>
      <c r="S74" s="307">
        <f t="shared" ca="1" si="50"/>
        <v>6.9039420172272239</v>
      </c>
      <c r="T74" s="304">
        <f t="shared" ca="1" si="30"/>
        <v>67.727671188999068</v>
      </c>
      <c r="U74" s="311">
        <f t="shared" ca="1" si="31"/>
        <v>0</v>
      </c>
      <c r="V74" s="306">
        <f t="shared" ca="1" si="32"/>
        <v>1.2219667318838143</v>
      </c>
      <c r="W74" s="304">
        <f t="shared" ca="1" si="33"/>
        <v>14.87441620764155</v>
      </c>
      <c r="Y74" s="314" t="str">
        <f t="shared" ca="1" si="51"/>
        <v/>
      </c>
      <c r="Z74" s="315" t="str">
        <f t="shared" ca="1" si="52"/>
        <v/>
      </c>
      <c r="AA74" s="316" t="str">
        <f t="shared" ca="1" si="53"/>
        <v/>
      </c>
      <c r="AC74" s="310" t="e">
        <f t="shared" ca="1" si="54"/>
        <v>#N/A</v>
      </c>
      <c r="AD74" s="323" t="e">
        <f t="shared" ca="1" si="55"/>
        <v>#N/A</v>
      </c>
      <c r="AE74" s="324">
        <f t="shared" ca="1" si="34"/>
        <v>24.792066656750261</v>
      </c>
      <c r="AG74" s="306">
        <f t="shared" ca="1" si="56"/>
        <v>100.39174662955955</v>
      </c>
      <c r="AH74" s="304">
        <f t="shared" ca="1" si="57"/>
        <v>110.15812003338304</v>
      </c>
    </row>
    <row r="75" spans="1:34" x14ac:dyDescent="0.2">
      <c r="A75" s="347">
        <f t="shared" ca="1" si="35"/>
        <v>0.01</v>
      </c>
      <c r="B75" s="304">
        <f t="shared" ca="1" si="36"/>
        <v>0.71000000000000041</v>
      </c>
      <c r="D75" s="306">
        <f t="shared" ca="1" si="37"/>
        <v>10.375568530682539</v>
      </c>
      <c r="E75" s="307">
        <f t="shared" ca="1" si="38"/>
        <v>99.689261361111434</v>
      </c>
      <c r="F75" s="304">
        <f t="shared" ca="1" si="39"/>
        <v>100.22774692199199</v>
      </c>
      <c r="G75" s="306">
        <f t="shared" ca="1" si="40"/>
        <v>6.9153729040856904</v>
      </c>
      <c r="H75" s="307">
        <f t="shared" ca="1" si="41"/>
        <v>72.883753745629321</v>
      </c>
      <c r="I75" s="304">
        <f t="shared" ca="1" si="42"/>
        <v>73.211091662780845</v>
      </c>
      <c r="J75" s="306">
        <f t="shared" ca="1" si="43"/>
        <v>2.3316344315885393</v>
      </c>
      <c r="K75" s="307">
        <f t="shared" ca="1" si="44"/>
        <v>25.515919731138499</v>
      </c>
      <c r="L75" s="304">
        <f t="shared" ca="1" si="29"/>
        <v>25.622230169297758</v>
      </c>
      <c r="M75" s="306">
        <f t="shared" ca="1" si="45"/>
        <v>1.4761973012082665</v>
      </c>
      <c r="N75" s="304">
        <f t="shared" ca="1" si="46"/>
        <v>84.579875087836015</v>
      </c>
      <c r="P75" s="310">
        <f t="shared" ca="1" si="47"/>
        <v>3</v>
      </c>
      <c r="Q75" s="304">
        <f t="shared" ca="1" si="48"/>
        <v>773.81</v>
      </c>
      <c r="R75" s="306">
        <f t="shared" ca="1" si="49"/>
        <v>0.38833918586065669</v>
      </c>
      <c r="S75" s="307">
        <f t="shared" ca="1" si="50"/>
        <v>6.9000586253686169</v>
      </c>
      <c r="T75" s="304">
        <f t="shared" ca="1" si="30"/>
        <v>67.68957511486613</v>
      </c>
      <c r="U75" s="311">
        <f t="shared" ca="1" si="31"/>
        <v>0</v>
      </c>
      <c r="V75" s="306">
        <f t="shared" ca="1" si="32"/>
        <v>1.2218782825075838</v>
      </c>
      <c r="W75" s="304">
        <f t="shared" ca="1" si="33"/>
        <v>15.289079021757274</v>
      </c>
      <c r="Y75" s="314" t="str">
        <f t="shared" ca="1" si="51"/>
        <v/>
      </c>
      <c r="Z75" s="315" t="str">
        <f t="shared" ca="1" si="52"/>
        <v/>
      </c>
      <c r="AA75" s="316" t="str">
        <f t="shared" ca="1" si="53"/>
        <v/>
      </c>
      <c r="AC75" s="310" t="e">
        <f t="shared" ca="1" si="54"/>
        <v>#N/A</v>
      </c>
      <c r="AD75" s="323" t="e">
        <f t="shared" ca="1" si="55"/>
        <v>#N/A</v>
      </c>
      <c r="AE75" s="324">
        <f t="shared" ca="1" si="34"/>
        <v>25.515919731138499</v>
      </c>
      <c r="AG75" s="306">
        <f t="shared" ca="1" si="56"/>
        <v>100.22347474886843</v>
      </c>
      <c r="AH75" s="304">
        <f t="shared" ca="1" si="57"/>
        <v>109.98972979766739</v>
      </c>
    </row>
    <row r="76" spans="1:34" x14ac:dyDescent="0.2">
      <c r="A76" s="347">
        <f t="shared" ca="1" si="35"/>
        <v>0.01</v>
      </c>
      <c r="B76" s="304">
        <f t="shared" ca="1" si="36"/>
        <v>0.72000000000000042</v>
      </c>
      <c r="D76" s="306">
        <f t="shared" ca="1" si="37"/>
        <v>10.373408564074605</v>
      </c>
      <c r="E76" s="307">
        <f t="shared" ca="1" si="38"/>
        <v>99.519311054235502</v>
      </c>
      <c r="F76" s="304">
        <f t="shared" ca="1" si="39"/>
        <v>100.0584872859214</v>
      </c>
      <c r="G76" s="306">
        <f t="shared" ca="1" si="40"/>
        <v>7.0191069897264367</v>
      </c>
      <c r="H76" s="307">
        <f t="shared" ca="1" si="41"/>
        <v>73.87894685617168</v>
      </c>
      <c r="I76" s="304">
        <f t="shared" ca="1" si="42"/>
        <v>74.211634205899728</v>
      </c>
      <c r="J76" s="306">
        <f t="shared" ca="1" si="43"/>
        <v>2.4013068310576</v>
      </c>
      <c r="K76" s="307">
        <f t="shared" ca="1" si="44"/>
        <v>26.249733234147506</v>
      </c>
      <c r="L76" s="304">
        <f t="shared" ca="1" si="29"/>
        <v>26.359339319504805</v>
      </c>
      <c r="M76" s="306">
        <f t="shared" ca="1" si="45"/>
        <v>1.4760724376420924</v>
      </c>
      <c r="N76" s="304">
        <f t="shared" ca="1" si="46"/>
        <v>84.572720932479285</v>
      </c>
      <c r="P76" s="310">
        <f t="shared" ca="1" si="47"/>
        <v>3</v>
      </c>
      <c r="Q76" s="304">
        <f t="shared" ca="1" si="48"/>
        <v>772.63</v>
      </c>
      <c r="R76" s="306">
        <f t="shared" ca="1" si="49"/>
        <v>0.38774699883888702</v>
      </c>
      <c r="S76" s="307">
        <f t="shared" ca="1" si="50"/>
        <v>6.8961811553802281</v>
      </c>
      <c r="T76" s="304">
        <f t="shared" ca="1" si="30"/>
        <v>67.651537134280048</v>
      </c>
      <c r="U76" s="311">
        <f t="shared" ca="1" si="31"/>
        <v>0</v>
      </c>
      <c r="V76" s="306">
        <f t="shared" ca="1" si="32"/>
        <v>1.221788622568861</v>
      </c>
      <c r="W76" s="304">
        <f t="shared" ca="1" si="33"/>
        <v>15.708679578284718</v>
      </c>
      <c r="Y76" s="314" t="str">
        <f t="shared" ca="1" si="51"/>
        <v/>
      </c>
      <c r="Z76" s="315" t="str">
        <f t="shared" ca="1" si="52"/>
        <v/>
      </c>
      <c r="AA76" s="316" t="str">
        <f t="shared" ca="1" si="53"/>
        <v/>
      </c>
      <c r="AC76" s="310" t="e">
        <f t="shared" ca="1" si="54"/>
        <v>#N/A</v>
      </c>
      <c r="AD76" s="323" t="e">
        <f t="shared" ca="1" si="55"/>
        <v>#N/A</v>
      </c>
      <c r="AE76" s="324">
        <f t="shared" ca="1" si="34"/>
        <v>26.249733234147506</v>
      </c>
      <c r="AG76" s="306">
        <f t="shared" ca="1" si="56"/>
        <v>100.05419646054166</v>
      </c>
      <c r="AH76" s="304">
        <f t="shared" ca="1" si="57"/>
        <v>109.82033445965732</v>
      </c>
    </row>
    <row r="77" spans="1:34" x14ac:dyDescent="0.2">
      <c r="A77" s="347">
        <f t="shared" ca="1" si="35"/>
        <v>0.01</v>
      </c>
      <c r="B77" s="304">
        <f t="shared" ca="1" si="36"/>
        <v>0.73000000000000043</v>
      </c>
      <c r="D77" s="306">
        <f t="shared" ca="1" si="37"/>
        <v>10.37094323242369</v>
      </c>
      <c r="E77" s="307">
        <f t="shared" ca="1" si="38"/>
        <v>99.348382261169135</v>
      </c>
      <c r="F77" s="304">
        <f t="shared" ca="1" si="39"/>
        <v>99.888225139110062</v>
      </c>
      <c r="G77" s="306">
        <f t="shared" ca="1" si="40"/>
        <v>7.1228164220506738</v>
      </c>
      <c r="H77" s="307">
        <f t="shared" ca="1" si="41"/>
        <v>74.872430678783374</v>
      </c>
      <c r="I77" s="304">
        <f t="shared" ca="1" si="42"/>
        <v>75.210473935027537</v>
      </c>
      <c r="J77" s="306">
        <f t="shared" ca="1" si="43"/>
        <v>2.4720164481164857</v>
      </c>
      <c r="K77" s="307">
        <f t="shared" ca="1" si="44"/>
        <v>26.99349012182228</v>
      </c>
      <c r="L77" s="304">
        <f t="shared" ca="1" si="29"/>
        <v>27.106445253420365</v>
      </c>
      <c r="M77" s="306">
        <f t="shared" ca="1" si="45"/>
        <v>1.4759490702028455</v>
      </c>
      <c r="N77" s="304">
        <f t="shared" ca="1" si="46"/>
        <v>84.565652498881093</v>
      </c>
      <c r="P77" s="310">
        <f t="shared" ca="1" si="47"/>
        <v>3</v>
      </c>
      <c r="Q77" s="304">
        <f t="shared" ca="1" si="48"/>
        <v>771.44999999999993</v>
      </c>
      <c r="R77" s="306">
        <f t="shared" ca="1" si="49"/>
        <v>0.38715481181711736</v>
      </c>
      <c r="S77" s="307">
        <f t="shared" ca="1" si="50"/>
        <v>6.8923096072620567</v>
      </c>
      <c r="T77" s="304">
        <f t="shared" ca="1" si="30"/>
        <v>67.613557247240777</v>
      </c>
      <c r="U77" s="311">
        <f t="shared" ca="1" si="31"/>
        <v>0</v>
      </c>
      <c r="V77" s="306">
        <f t="shared" ca="1" si="32"/>
        <v>1.2216977544167533</v>
      </c>
      <c r="W77" s="304">
        <f t="shared" ca="1" si="33"/>
        <v>16.133182269525399</v>
      </c>
      <c r="Y77" s="314" t="str">
        <f t="shared" ca="1" si="51"/>
        <v/>
      </c>
      <c r="Z77" s="315" t="str">
        <f t="shared" ca="1" si="52"/>
        <v/>
      </c>
      <c r="AA77" s="316" t="str">
        <f t="shared" ca="1" si="53"/>
        <v/>
      </c>
      <c r="AC77" s="310" t="e">
        <f t="shared" ca="1" si="54"/>
        <v>#N/A</v>
      </c>
      <c r="AD77" s="323" t="e">
        <f t="shared" ca="1" si="55"/>
        <v>#N/A</v>
      </c>
      <c r="AE77" s="324">
        <f t="shared" ca="1" si="34"/>
        <v>26.99349012182228</v>
      </c>
      <c r="AG77" s="306">
        <f t="shared" ca="1" si="56"/>
        <v>99.883915679396495</v>
      </c>
      <c r="AH77" s="304">
        <f t="shared" ca="1" si="57"/>
        <v>109.64993789968911</v>
      </c>
    </row>
    <row r="78" spans="1:34" x14ac:dyDescent="0.2">
      <c r="A78" s="347">
        <f t="shared" ca="1" si="35"/>
        <v>0.01</v>
      </c>
      <c r="B78" s="304">
        <f t="shared" ca="1" si="36"/>
        <v>0.74000000000000044</v>
      </c>
      <c r="D78" s="306">
        <f t="shared" ca="1" si="37"/>
        <v>10.368177868570465</v>
      </c>
      <c r="E78" s="307">
        <f t="shared" ca="1" si="38"/>
        <v>99.176478484355371</v>
      </c>
      <c r="F78" s="304">
        <f t="shared" ca="1" si="39"/>
        <v>99.71696443871582</v>
      </c>
      <c r="G78" s="306">
        <f t="shared" ca="1" si="40"/>
        <v>7.2264982007363781</v>
      </c>
      <c r="H78" s="307">
        <f t="shared" ca="1" si="41"/>
        <v>75.864195463626928</v>
      </c>
      <c r="I78" s="304">
        <f t="shared" ca="1" si="42"/>
        <v>76.207600864931038</v>
      </c>
      <c r="J78" s="306">
        <f t="shared" ca="1" si="43"/>
        <v>2.5437630212304208</v>
      </c>
      <c r="K78" s="307">
        <f t="shared" ca="1" si="44"/>
        <v>27.747173252534331</v>
      </c>
      <c r="L78" s="304">
        <f t="shared" ca="1" si="29"/>
        <v>27.86353089280567</v>
      </c>
      <c r="M78" s="306">
        <f t="shared" ca="1" si="45"/>
        <v>1.4758271588516305</v>
      </c>
      <c r="N78" s="304">
        <f t="shared" ca="1" si="46"/>
        <v>84.558667492981741</v>
      </c>
      <c r="P78" s="310">
        <f t="shared" ca="1" si="47"/>
        <v>3</v>
      </c>
      <c r="Q78" s="304">
        <f t="shared" ca="1" si="48"/>
        <v>770.27</v>
      </c>
      <c r="R78" s="306">
        <f t="shared" ca="1" si="49"/>
        <v>0.38656262479534775</v>
      </c>
      <c r="S78" s="307">
        <f t="shared" ca="1" si="50"/>
        <v>6.8884439810141034</v>
      </c>
      <c r="T78" s="304">
        <f t="shared" ca="1" si="30"/>
        <v>67.575635453748362</v>
      </c>
      <c r="U78" s="311">
        <f t="shared" ca="1" si="31"/>
        <v>0</v>
      </c>
      <c r="V78" s="306">
        <f t="shared" ca="1" si="32"/>
        <v>1.2216056804152444</v>
      </c>
      <c r="W78" s="304">
        <f t="shared" ca="1" si="33"/>
        <v>16.56255130967865</v>
      </c>
      <c r="Y78" s="314" t="str">
        <f t="shared" ca="1" si="51"/>
        <v/>
      </c>
      <c r="Z78" s="315" t="str">
        <f t="shared" ca="1" si="52"/>
        <v/>
      </c>
      <c r="AA78" s="316" t="str">
        <f t="shared" ca="1" si="53"/>
        <v/>
      </c>
      <c r="AC78" s="310" t="e">
        <f t="shared" ca="1" si="54"/>
        <v>#N/A</v>
      </c>
      <c r="AD78" s="323" t="e">
        <f t="shared" ca="1" si="55"/>
        <v>#N/A</v>
      </c>
      <c r="AE78" s="324">
        <f t="shared" ca="1" si="34"/>
        <v>27.747173252534331</v>
      </c>
      <c r="AG78" s="306">
        <f t="shared" ca="1" si="56"/>
        <v>99.712636359043813</v>
      </c>
      <c r="AH78" s="304">
        <f t="shared" ca="1" si="57"/>
        <v>109.47854403825058</v>
      </c>
    </row>
    <row r="79" spans="1:34" x14ac:dyDescent="0.2">
      <c r="A79" s="347">
        <f t="shared" ca="1" si="35"/>
        <v>0.01</v>
      </c>
      <c r="B79" s="304">
        <f t="shared" ca="1" si="36"/>
        <v>0.75000000000000044</v>
      </c>
      <c r="D79" s="306">
        <f t="shared" ca="1" si="37"/>
        <v>10.365117609492755</v>
      </c>
      <c r="E79" s="307">
        <f t="shared" ca="1" si="38"/>
        <v>99.00360328158834</v>
      </c>
      <c r="F79" s="304">
        <f t="shared" ca="1" si="39"/>
        <v>99.544709180331353</v>
      </c>
      <c r="G79" s="306">
        <f t="shared" ca="1" si="40"/>
        <v>7.3301493768313053</v>
      </c>
      <c r="H79" s="307">
        <f t="shared" ca="1" si="41"/>
        <v>76.854231496442807</v>
      </c>
      <c r="I79" s="304">
        <f t="shared" ca="1" si="42"/>
        <v>77.203005050292461</v>
      </c>
      <c r="J79" s="306">
        <f t="shared" ca="1" si="43"/>
        <v>2.6165462591182593</v>
      </c>
      <c r="K79" s="307">
        <f t="shared" ca="1" si="44"/>
        <v>28.510765387334679</v>
      </c>
      <c r="L79" s="304">
        <f t="shared" ca="1" si="29"/>
        <v>28.630579059770113</v>
      </c>
      <c r="M79" s="306">
        <f t="shared" ca="1" si="45"/>
        <v>1.4757066651316171</v>
      </c>
      <c r="N79" s="304">
        <f t="shared" ca="1" si="46"/>
        <v>84.551763711367144</v>
      </c>
      <c r="P79" s="310">
        <f t="shared" ca="1" si="47"/>
        <v>3</v>
      </c>
      <c r="Q79" s="304">
        <f t="shared" ca="1" si="48"/>
        <v>769.08999999999992</v>
      </c>
      <c r="R79" s="306">
        <f t="shared" ca="1" si="49"/>
        <v>0.38597043777357803</v>
      </c>
      <c r="S79" s="307">
        <f t="shared" ca="1" si="50"/>
        <v>6.8845842766363674</v>
      </c>
      <c r="T79" s="304">
        <f t="shared" ca="1" si="30"/>
        <v>67.537771753802772</v>
      </c>
      <c r="U79" s="311">
        <f t="shared" ca="1" si="31"/>
        <v>0</v>
      </c>
      <c r="V79" s="306">
        <f t="shared" ca="1" si="32"/>
        <v>1.2215124029431244</v>
      </c>
      <c r="W79" s="304">
        <f t="shared" ca="1" si="33"/>
        <v>16.996750737621568</v>
      </c>
      <c r="Y79" s="314" t="str">
        <f t="shared" ca="1" si="51"/>
        <v/>
      </c>
      <c r="Z79" s="315" t="str">
        <f t="shared" ca="1" si="52"/>
        <v/>
      </c>
      <c r="AA79" s="316" t="str">
        <f t="shared" ca="1" si="53"/>
        <v/>
      </c>
      <c r="AC79" s="310" t="e">
        <f t="shared" ca="1" si="54"/>
        <v>#N/A</v>
      </c>
      <c r="AD79" s="323" t="e">
        <f t="shared" ca="1" si="55"/>
        <v>#N/A</v>
      </c>
      <c r="AE79" s="324">
        <f t="shared" ca="1" si="34"/>
        <v>28.510765387334679</v>
      </c>
      <c r="AG79" s="306">
        <f t="shared" ca="1" si="56"/>
        <v>99.54036249163687</v>
      </c>
      <c r="AH79" s="304">
        <f t="shared" ca="1" si="57"/>
        <v>109.30615683565821</v>
      </c>
    </row>
    <row r="80" spans="1:34" x14ac:dyDescent="0.2">
      <c r="A80" s="347">
        <f t="shared" ca="1" si="35"/>
        <v>0.01</v>
      </c>
      <c r="B80" s="304">
        <f t="shared" ca="1" si="36"/>
        <v>0.76000000000000045</v>
      </c>
      <c r="D80" s="306">
        <f t="shared" ca="1" si="37"/>
        <v>10.36176740693165</v>
      </c>
      <c r="E80" s="307">
        <f t="shared" ca="1" si="38"/>
        <v>98.829760264867616</v>
      </c>
      <c r="F80" s="304">
        <f t="shared" ca="1" si="39"/>
        <v>99.371463397730821</v>
      </c>
      <c r="G80" s="306">
        <f t="shared" ca="1" si="40"/>
        <v>7.433767050900622</v>
      </c>
      <c r="H80" s="307">
        <f t="shared" ca="1" si="41"/>
        <v>77.842529099091479</v>
      </c>
      <c r="I80" s="304">
        <f t="shared" ca="1" si="42"/>
        <v>78.196676586092579</v>
      </c>
      <c r="J80" s="306">
        <f t="shared" ca="1" si="43"/>
        <v>2.6903658412569191</v>
      </c>
      <c r="K80" s="307">
        <f t="shared" ca="1" si="44"/>
        <v>29.284249190312352</v>
      </c>
      <c r="L80" s="304">
        <f t="shared" ca="1" si="29"/>
        <v>29.407572477171787</v>
      </c>
      <c r="M80" s="306">
        <f t="shared" ca="1" si="45"/>
        <v>1.4755875520851012</v>
      </c>
      <c r="N80" s="304">
        <f t="shared" ca="1" si="46"/>
        <v>84.544939036516837</v>
      </c>
      <c r="P80" s="310">
        <f t="shared" ca="1" si="47"/>
        <v>3</v>
      </c>
      <c r="Q80" s="304">
        <f t="shared" ca="1" si="48"/>
        <v>767.91</v>
      </c>
      <c r="R80" s="306">
        <f t="shared" ca="1" si="49"/>
        <v>0.38537825075180843</v>
      </c>
      <c r="S80" s="307">
        <f t="shared" ca="1" si="50"/>
        <v>6.8807304941288496</v>
      </c>
      <c r="T80" s="304">
        <f t="shared" ca="1" si="30"/>
        <v>67.499966147404024</v>
      </c>
      <c r="U80" s="311">
        <f t="shared" ca="1" si="31"/>
        <v>0</v>
      </c>
      <c r="V80" s="306">
        <f t="shared" ca="1" si="32"/>
        <v>1.2214179243939201</v>
      </c>
      <c r="W80" s="304">
        <f t="shared" ca="1" si="33"/>
        <v>17.435744419701638</v>
      </c>
      <c r="Y80" s="314" t="str">
        <f t="shared" ca="1" si="51"/>
        <v/>
      </c>
      <c r="Z80" s="315" t="str">
        <f t="shared" ca="1" si="52"/>
        <v/>
      </c>
      <c r="AA80" s="316" t="str">
        <f t="shared" ca="1" si="53"/>
        <v/>
      </c>
      <c r="AC80" s="310" t="e">
        <f t="shared" ca="1" si="54"/>
        <v>#N/A</v>
      </c>
      <c r="AD80" s="323" t="e">
        <f t="shared" ca="1" si="55"/>
        <v>#N/A</v>
      </c>
      <c r="AE80" s="324">
        <f t="shared" ca="1" si="34"/>
        <v>29.284249190312352</v>
      </c>
      <c r="AG80" s="306">
        <f t="shared" ca="1" si="56"/>
        <v>99.367098107611952</v>
      </c>
      <c r="AH80" s="304">
        <f t="shared" ca="1" si="57"/>
        <v>109.13278029173114</v>
      </c>
    </row>
    <row r="81" spans="1:34" x14ac:dyDescent="0.2">
      <c r="A81" s="347">
        <f t="shared" ca="1" si="35"/>
        <v>0.01</v>
      </c>
      <c r="B81" s="304">
        <f t="shared" ca="1" si="36"/>
        <v>0.77000000000000046</v>
      </c>
      <c r="D81" s="306">
        <f t="shared" ca="1" si="37"/>
        <v>10.358132037316889</v>
      </c>
      <c r="E81" s="307">
        <f t="shared" ca="1" si="38"/>
        <v>98.654953099301864</v>
      </c>
      <c r="F81" s="304">
        <f t="shared" ca="1" si="39"/>
        <v>99.197231162608276</v>
      </c>
      <c r="G81" s="306">
        <f t="shared" ca="1" si="40"/>
        <v>7.537348371273791</v>
      </c>
      <c r="H81" s="307">
        <f t="shared" ca="1" si="41"/>
        <v>78.829078630084496</v>
      </c>
      <c r="I81" s="304">
        <f t="shared" ca="1" si="42"/>
        <v>79.188605607991278</v>
      </c>
      <c r="J81" s="306">
        <f t="shared" ca="1" si="43"/>
        <v>2.765221418367791</v>
      </c>
      <c r="K81" s="307">
        <f t="shared" ca="1" si="44"/>
        <v>30.067607228958231</v>
      </c>
      <c r="L81" s="304">
        <f t="shared" ca="1" si="29"/>
        <v>30.194493769021882</v>
      </c>
      <c r="M81" s="306">
        <f t="shared" ca="1" si="45"/>
        <v>1.4754697841759561</v>
      </c>
      <c r="N81" s="304">
        <f t="shared" ca="1" si="46"/>
        <v>84.538191432360748</v>
      </c>
      <c r="P81" s="310">
        <f t="shared" ca="1" si="47"/>
        <v>3</v>
      </c>
      <c r="Q81" s="304">
        <f t="shared" ca="1" si="48"/>
        <v>766.7299999999999</v>
      </c>
      <c r="R81" s="306">
        <f t="shared" ca="1" si="49"/>
        <v>0.38478606373003871</v>
      </c>
      <c r="S81" s="307">
        <f t="shared" ca="1" si="50"/>
        <v>6.8768826334915492</v>
      </c>
      <c r="T81" s="304">
        <f t="shared" ca="1" si="30"/>
        <v>67.462218634552102</v>
      </c>
      <c r="U81" s="311">
        <f t="shared" ca="1" si="31"/>
        <v>0</v>
      </c>
      <c r="V81" s="306">
        <f t="shared" ca="1" si="32"/>
        <v>1.2213222471758229</v>
      </c>
      <c r="W81" s="304">
        <f t="shared" ca="1" si="33"/>
        <v>17.879496052541537</v>
      </c>
      <c r="Y81" s="314" t="str">
        <f t="shared" ca="1" si="51"/>
        <v/>
      </c>
      <c r="Z81" s="315" t="str">
        <f t="shared" ca="1" si="52"/>
        <v/>
      </c>
      <c r="AA81" s="316" t="str">
        <f t="shared" ca="1" si="53"/>
        <v/>
      </c>
      <c r="AC81" s="310" t="e">
        <f t="shared" ca="1" si="54"/>
        <v>#N/A</v>
      </c>
      <c r="AD81" s="323" t="e">
        <f t="shared" ca="1" si="55"/>
        <v>#N/A</v>
      </c>
      <c r="AE81" s="324">
        <f t="shared" ca="1" si="34"/>
        <v>30.067607228958231</v>
      </c>
      <c r="AG81" s="306">
        <f t="shared" ca="1" si="56"/>
        <v>99.192847275421315</v>
      </c>
      <c r="AH81" s="304">
        <f t="shared" ca="1" si="57"/>
        <v>108.95841844546132</v>
      </c>
    </row>
    <row r="82" spans="1:34" x14ac:dyDescent="0.2">
      <c r="A82" s="347">
        <f t="shared" ca="1" si="35"/>
        <v>0.01</v>
      </c>
      <c r="B82" s="304">
        <f t="shared" ca="1" si="36"/>
        <v>0.78000000000000047</v>
      </c>
      <c r="D82" s="306">
        <f t="shared" ca="1" si="37"/>
        <v>10.354216111045636</v>
      </c>
      <c r="E82" s="307">
        <f t="shared" ca="1" si="38"/>
        <v>98.479185502058286</v>
      </c>
      <c r="F82" s="304">
        <f t="shared" ca="1" si="39"/>
        <v>99.022016584308389</v>
      </c>
      <c r="G82" s="306">
        <f t="shared" ca="1" si="40"/>
        <v>7.6408905323842475</v>
      </c>
      <c r="H82" s="307">
        <f t="shared" ca="1" si="41"/>
        <v>79.813870485105085</v>
      </c>
      <c r="I82" s="304">
        <f t="shared" ca="1" si="42"/>
        <v>80.178782292705137</v>
      </c>
      <c r="J82" s="306">
        <f t="shared" ca="1" si="43"/>
        <v>2.8411126128860813</v>
      </c>
      <c r="K82" s="307">
        <f t="shared" ca="1" si="44"/>
        <v>30.860821974534179</v>
      </c>
      <c r="L82" s="304">
        <f t="shared" ca="1" si="29"/>
        <v>30.991325460892956</v>
      </c>
      <c r="M82" s="306">
        <f t="shared" ca="1" si="45"/>
        <v>1.4753533272170525</v>
      </c>
      <c r="N82" s="304">
        <f t="shared" ca="1" si="46"/>
        <v>84.531518940120634</v>
      </c>
      <c r="P82" s="310">
        <f t="shared" ca="1" si="47"/>
        <v>3</v>
      </c>
      <c r="Q82" s="304">
        <f t="shared" ca="1" si="48"/>
        <v>765.55</v>
      </c>
      <c r="R82" s="306">
        <f t="shared" ca="1" si="49"/>
        <v>0.3841938767082691</v>
      </c>
      <c r="S82" s="307">
        <f t="shared" ca="1" si="50"/>
        <v>6.8730406947244669</v>
      </c>
      <c r="T82" s="304">
        <f t="shared" ca="1" si="30"/>
        <v>67.42452921524702</v>
      </c>
      <c r="U82" s="311">
        <f t="shared" ca="1" si="31"/>
        <v>0</v>
      </c>
      <c r="V82" s="306">
        <f t="shared" ca="1" si="32"/>
        <v>1.2212253737116152</v>
      </c>
      <c r="W82" s="304">
        <f t="shared" ca="1" si="33"/>
        <v>18.327969165855741</v>
      </c>
      <c r="Y82" s="314" t="str">
        <f t="shared" ca="1" si="51"/>
        <v/>
      </c>
      <c r="Z82" s="315" t="str">
        <f t="shared" ca="1" si="52"/>
        <v/>
      </c>
      <c r="AA82" s="316" t="str">
        <f t="shared" ca="1" si="53"/>
        <v/>
      </c>
      <c r="AC82" s="310" t="e">
        <f t="shared" ca="1" si="54"/>
        <v>#N/A</v>
      </c>
      <c r="AD82" s="323" t="e">
        <f t="shared" ca="1" si="55"/>
        <v>#N/A</v>
      </c>
      <c r="AE82" s="324">
        <f t="shared" ca="1" si="34"/>
        <v>30.860821974534179</v>
      </c>
      <c r="AG82" s="306">
        <f t="shared" ca="1" si="56"/>
        <v>99.01761410125853</v>
      </c>
      <c r="AH82" s="304">
        <f t="shared" ca="1" si="57"/>
        <v>108.78307537468055</v>
      </c>
    </row>
    <row r="83" spans="1:34" x14ac:dyDescent="0.2">
      <c r="A83" s="347">
        <f t="shared" ca="1" si="35"/>
        <v>0.01</v>
      </c>
      <c r="B83" s="304">
        <f t="shared" ca="1" si="36"/>
        <v>0.79000000000000048</v>
      </c>
      <c r="D83" s="306">
        <f t="shared" ca="1" si="37"/>
        <v>10.35002408116495</v>
      </c>
      <c r="E83" s="307">
        <f t="shared" ca="1" si="38"/>
        <v>98.302461241353754</v>
      </c>
      <c r="F83" s="304">
        <f t="shared" ca="1" si="39"/>
        <v>98.845823809549742</v>
      </c>
      <c r="G83" s="306">
        <f t="shared" ca="1" si="40"/>
        <v>7.7443907731958967</v>
      </c>
      <c r="H83" s="307">
        <f t="shared" ca="1" si="41"/>
        <v>80.796895097518629</v>
      </c>
      <c r="I83" s="304">
        <f t="shared" ca="1" si="42"/>
        <v>81.16719685838234</v>
      </c>
      <c r="J83" s="306">
        <f t="shared" ca="1" si="43"/>
        <v>2.9180390194139818</v>
      </c>
      <c r="K83" s="307">
        <f t="shared" ca="1" si="44"/>
        <v>31.663875802447297</v>
      </c>
      <c r="L83" s="304">
        <f t="shared" ca="1" si="29"/>
        <v>31.798049980331026</v>
      </c>
      <c r="M83" s="306">
        <f t="shared" ca="1" si="45"/>
        <v>1.4752381483022727</v>
      </c>
      <c r="N83" s="304">
        <f t="shared" ca="1" si="46"/>
        <v>84.524919674414861</v>
      </c>
      <c r="P83" s="310">
        <f t="shared" ca="1" si="47"/>
        <v>3</v>
      </c>
      <c r="Q83" s="304">
        <f t="shared" ca="1" si="48"/>
        <v>764.36999999999989</v>
      </c>
      <c r="R83" s="306">
        <f t="shared" ca="1" si="49"/>
        <v>0.38360168968649944</v>
      </c>
      <c r="S83" s="307">
        <f t="shared" ca="1" si="50"/>
        <v>6.8692046778276019</v>
      </c>
      <c r="T83" s="304">
        <f t="shared" ca="1" si="30"/>
        <v>67.386897889488779</v>
      </c>
      <c r="U83" s="311">
        <f t="shared" ca="1" si="31"/>
        <v>0</v>
      </c>
      <c r="V83" s="306">
        <f t="shared" ca="1" si="32"/>
        <v>1.2211273064385981</v>
      </c>
      <c r="W83" s="304">
        <f t="shared" ca="1" si="33"/>
        <v>18.78112712527864</v>
      </c>
      <c r="Y83" s="314" t="str">
        <f t="shared" ca="1" si="51"/>
        <v/>
      </c>
      <c r="Z83" s="315" t="str">
        <f t="shared" ca="1" si="52"/>
        <v/>
      </c>
      <c r="AA83" s="316" t="str">
        <f t="shared" ca="1" si="53"/>
        <v/>
      </c>
      <c r="AC83" s="310" t="e">
        <f t="shared" ca="1" si="54"/>
        <v>#N/A</v>
      </c>
      <c r="AD83" s="323" t="e">
        <f t="shared" ca="1" si="55"/>
        <v>#N/A</v>
      </c>
      <c r="AE83" s="324">
        <f t="shared" ca="1" si="34"/>
        <v>31.663875802447297</v>
      </c>
      <c r="AG83" s="306">
        <f t="shared" ca="1" si="56"/>
        <v>98.84140272877687</v>
      </c>
      <c r="AH83" s="304">
        <f t="shared" ca="1" si="57"/>
        <v>108.60675519572395</v>
      </c>
    </row>
    <row r="84" spans="1:34" x14ac:dyDescent="0.2">
      <c r="A84" s="347">
        <f t="shared" ca="1" si="35"/>
        <v>0.01</v>
      </c>
      <c r="B84" s="304">
        <f t="shared" ca="1" si="36"/>
        <v>0.80000000000000049</v>
      </c>
      <c r="D84" s="306">
        <f t="shared" ca="1" si="37"/>
        <v>10.345560251502921</v>
      </c>
      <c r="E84" s="307">
        <f t="shared" ca="1" si="38"/>
        <v>98.124784135484745</v>
      </c>
      <c r="F84" s="304">
        <f t="shared" ca="1" si="39"/>
        <v>98.668657022141318</v>
      </c>
      <c r="G84" s="306">
        <f t="shared" ca="1" si="40"/>
        <v>7.847846375710926</v>
      </c>
      <c r="H84" s="307">
        <f t="shared" ca="1" si="41"/>
        <v>81.778142938873472</v>
      </c>
      <c r="I84" s="304">
        <f t="shared" ca="1" si="42"/>
        <v>82.153839564974561</v>
      </c>
      <c r="J84" s="306">
        <f t="shared" ca="1" si="43"/>
        <v>2.9960002051585159</v>
      </c>
      <c r="K84" s="307">
        <f t="shared" ca="1" si="44"/>
        <v>32.476750992629256</v>
      </c>
      <c r="L84" s="304">
        <f t="shared" ca="1" si="29"/>
        <v>32.614649657271428</v>
      </c>
      <c r="M84" s="306">
        <f t="shared" ca="1" si="45"/>
        <v>1.4751242157427729</v>
      </c>
      <c r="N84" s="304">
        <f t="shared" ca="1" si="46"/>
        <v>84.518391819606393</v>
      </c>
      <c r="P84" s="310">
        <f t="shared" ca="1" si="47"/>
        <v>3</v>
      </c>
      <c r="Q84" s="304">
        <f t="shared" ca="1" si="48"/>
        <v>763.18999999999994</v>
      </c>
      <c r="R84" s="306">
        <f t="shared" ca="1" si="49"/>
        <v>0.38300950266472977</v>
      </c>
      <c r="S84" s="307">
        <f t="shared" ca="1" si="50"/>
        <v>6.8653745828009543</v>
      </c>
      <c r="T84" s="304">
        <f t="shared" ca="1" si="30"/>
        <v>67.349324657277364</v>
      </c>
      <c r="U84" s="311">
        <f t="shared" ca="1" si="31"/>
        <v>0</v>
      </c>
      <c r="V84" s="306">
        <f t="shared" ca="1" si="32"/>
        <v>1.2210280478085171</v>
      </c>
      <c r="W84" s="304">
        <f t="shared" ca="1" si="33"/>
        <v>19.238933135203663</v>
      </c>
      <c r="Y84" s="314" t="str">
        <f t="shared" ca="1" si="51"/>
        <v/>
      </c>
      <c r="Z84" s="315" t="str">
        <f t="shared" ca="1" si="52"/>
        <v/>
      </c>
      <c r="AA84" s="316" t="str">
        <f t="shared" ca="1" si="53"/>
        <v/>
      </c>
      <c r="AC84" s="310" t="e">
        <f t="shared" ca="1" si="54"/>
        <v>#N/A</v>
      </c>
      <c r="AD84" s="323" t="e">
        <f t="shared" ca="1" si="55"/>
        <v>#N/A</v>
      </c>
      <c r="AE84" s="324">
        <f t="shared" ca="1" si="34"/>
        <v>32.476750992629256</v>
      </c>
      <c r="AG84" s="306">
        <f t="shared" ca="1" si="56"/>
        <v>98.664217338801265</v>
      </c>
      <c r="AH84" s="304">
        <f t="shared" ca="1" si="57"/>
        <v>108.42946206309043</v>
      </c>
    </row>
    <row r="85" spans="1:34" x14ac:dyDescent="0.2">
      <c r="A85" s="347">
        <f t="shared" ca="1" si="35"/>
        <v>0.01</v>
      </c>
      <c r="B85" s="304">
        <f t="shared" ca="1" si="36"/>
        <v>0.8100000000000005</v>
      </c>
      <c r="D85" s="306">
        <f t="shared" ca="1" si="37"/>
        <v>10.340828784289927</v>
      </c>
      <c r="E85" s="307">
        <f t="shared" ca="1" si="38"/>
        <v>97.946158051892596</v>
      </c>
      <c r="F85" s="304">
        <f t="shared" ca="1" si="39"/>
        <v>98.49052044269196</v>
      </c>
      <c r="G85" s="306">
        <f t="shared" ca="1" si="40"/>
        <v>7.9512546635538257</v>
      </c>
      <c r="H85" s="307">
        <f t="shared" ca="1" si="41"/>
        <v>82.757604519392402</v>
      </c>
      <c r="I85" s="304">
        <f t="shared" ca="1" si="42"/>
        <v>83.138700714606102</v>
      </c>
      <c r="J85" s="306">
        <f t="shared" ca="1" si="43"/>
        <v>3.0749957103548398</v>
      </c>
      <c r="K85" s="307">
        <f t="shared" ca="1" si="44"/>
        <v>33.299429729920583</v>
      </c>
      <c r="L85" s="304">
        <f t="shared" ca="1" si="29"/>
        <v>33.441106724458436</v>
      </c>
      <c r="M85" s="306">
        <f t="shared" ca="1" si="45"/>
        <v>1.4750114990071741</v>
      </c>
      <c r="N85" s="304">
        <f t="shared" ca="1" si="46"/>
        <v>84.511933626376091</v>
      </c>
      <c r="P85" s="310">
        <f t="shared" ca="1" si="47"/>
        <v>3</v>
      </c>
      <c r="Q85" s="304">
        <f t="shared" ca="1" si="48"/>
        <v>762.01</v>
      </c>
      <c r="R85" s="306">
        <f t="shared" ca="1" si="49"/>
        <v>0.38241731564296016</v>
      </c>
      <c r="S85" s="307">
        <f t="shared" ca="1" si="50"/>
        <v>6.8615504096445248</v>
      </c>
      <c r="T85" s="304">
        <f t="shared" ca="1" si="30"/>
        <v>67.31180951861279</v>
      </c>
      <c r="U85" s="311">
        <f t="shared" ca="1" si="31"/>
        <v>0</v>
      </c>
      <c r="V85" s="306">
        <f t="shared" ca="1" si="32"/>
        <v>1.220927600287488</v>
      </c>
      <c r="W85" s="304">
        <f t="shared" ca="1" si="33"/>
        <v>19.701350241633179</v>
      </c>
      <c r="Y85" s="314" t="str">
        <f t="shared" ca="1" si="51"/>
        <v/>
      </c>
      <c r="Z85" s="315" t="str">
        <f t="shared" ca="1" si="52"/>
        <v/>
      </c>
      <c r="AA85" s="316" t="str">
        <f t="shared" ca="1" si="53"/>
        <v/>
      </c>
      <c r="AC85" s="310" t="e">
        <f t="shared" ca="1" si="54"/>
        <v>#N/A</v>
      </c>
      <c r="AD85" s="323" t="e">
        <f t="shared" ca="1" si="55"/>
        <v>#N/A</v>
      </c>
      <c r="AE85" s="324">
        <f t="shared" ca="1" si="34"/>
        <v>33.299429729920583</v>
      </c>
      <c r="AG85" s="306">
        <f t="shared" ca="1" si="56"/>
        <v>98.486062149033373</v>
      </c>
      <c r="AH85" s="304">
        <f t="shared" ca="1" si="57"/>
        <v>108.25120016909953</v>
      </c>
    </row>
    <row r="86" spans="1:34" x14ac:dyDescent="0.2">
      <c r="A86" s="347">
        <f t="shared" ca="1" si="35"/>
        <v>0.01</v>
      </c>
      <c r="B86" s="304">
        <f t="shared" ca="1" si="36"/>
        <v>0.82000000000000051</v>
      </c>
      <c r="D86" s="306">
        <f t="shared" ca="1" si="37"/>
        <v>10.335833707308188</v>
      </c>
      <c r="E86" s="307">
        <f t="shared" ca="1" si="38"/>
        <v>97.766586906261551</v>
      </c>
      <c r="F86" s="304">
        <f t="shared" ca="1" si="39"/>
        <v>98.311418328313835</v>
      </c>
      <c r="G86" s="306">
        <f t="shared" ca="1" si="40"/>
        <v>8.0546130006269081</v>
      </c>
      <c r="H86" s="307">
        <f t="shared" ca="1" si="41"/>
        <v>83.735270388455021</v>
      </c>
      <c r="I86" s="304">
        <f t="shared" ca="1" si="42"/>
        <v>84.121770651939684</v>
      </c>
      <c r="J86" s="306">
        <f t="shared" ca="1" si="43"/>
        <v>3.1550250486757436</v>
      </c>
      <c r="K86" s="307">
        <f t="shared" ca="1" si="44"/>
        <v>34.131894104459818</v>
      </c>
      <c r="L86" s="304">
        <f t="shared" ca="1" si="29"/>
        <v>34.277403317868611</v>
      </c>
      <c r="M86" s="306">
        <f t="shared" ca="1" si="45"/>
        <v>1.4748999686654016</v>
      </c>
      <c r="N86" s="304">
        <f t="shared" ca="1" si="46"/>
        <v>84.505543408504877</v>
      </c>
      <c r="P86" s="310">
        <f t="shared" ca="1" si="47"/>
        <v>3</v>
      </c>
      <c r="Q86" s="304">
        <f t="shared" ca="1" si="48"/>
        <v>760.82999999999993</v>
      </c>
      <c r="R86" s="306">
        <f t="shared" ca="1" si="49"/>
        <v>0.3818251286211905</v>
      </c>
      <c r="S86" s="307">
        <f t="shared" ca="1" si="50"/>
        <v>6.8577321583583126</v>
      </c>
      <c r="T86" s="304">
        <f t="shared" ca="1" si="30"/>
        <v>67.274352473495057</v>
      </c>
      <c r="U86" s="311">
        <f t="shared" ca="1" si="31"/>
        <v>0</v>
      </c>
      <c r="V86" s="306">
        <f t="shared" ca="1" si="32"/>
        <v>1.2208259663559202</v>
      </c>
      <c r="W86" s="304">
        <f t="shared" ca="1" si="33"/>
        <v>20.168341335038477</v>
      </c>
      <c r="Y86" s="314" t="str">
        <f t="shared" ca="1" si="51"/>
        <v/>
      </c>
      <c r="Z86" s="315" t="str">
        <f t="shared" ca="1" si="52"/>
        <v/>
      </c>
      <c r="AA86" s="316" t="str">
        <f t="shared" ca="1" si="53"/>
        <v/>
      </c>
      <c r="AC86" s="310" t="e">
        <f t="shared" ca="1" si="54"/>
        <v>#N/A</v>
      </c>
      <c r="AD86" s="323" t="e">
        <f t="shared" ca="1" si="55"/>
        <v>#N/A</v>
      </c>
      <c r="AE86" s="324">
        <f t="shared" ca="1" si="34"/>
        <v>34.131894104459818</v>
      </c>
      <c r="AG86" s="306">
        <f t="shared" ca="1" si="56"/>
        <v>98.306941413750906</v>
      </c>
      <c r="AH86" s="304">
        <f t="shared" ca="1" si="57"/>
        <v>108.07197374354543</v>
      </c>
    </row>
    <row r="87" spans="1:34" x14ac:dyDescent="0.2">
      <c r="A87" s="347">
        <f t="shared" ca="1" si="35"/>
        <v>0.01</v>
      </c>
      <c r="B87" s="304">
        <f t="shared" ca="1" si="36"/>
        <v>0.83000000000000052</v>
      </c>
      <c r="D87" s="306">
        <f t="shared" ca="1" si="37"/>
        <v>10.330578920603429</v>
      </c>
      <c r="E87" s="307">
        <f t="shared" ca="1" si="38"/>
        <v>97.586074661647189</v>
      </c>
      <c r="F87" s="304">
        <f t="shared" ca="1" si="39"/>
        <v>98.131354972319599</v>
      </c>
      <c r="G87" s="306">
        <f t="shared" ca="1" si="40"/>
        <v>8.1579187898329426</v>
      </c>
      <c r="H87" s="307">
        <f t="shared" ca="1" si="41"/>
        <v>84.711131135071497</v>
      </c>
      <c r="I87" s="304">
        <f t="shared" ca="1" si="42"/>
        <v>85.103039764539488</v>
      </c>
      <c r="J87" s="306">
        <f t="shared" ca="1" si="43"/>
        <v>3.2360877076280428</v>
      </c>
      <c r="K87" s="307">
        <f t="shared" ca="1" si="44"/>
        <v>34.97412611207745</v>
      </c>
      <c r="L87" s="304">
        <f t="shared" ca="1" si="29"/>
        <v>35.123521477137785</v>
      </c>
      <c r="M87" s="306">
        <f t="shared" ca="1" si="45"/>
        <v>1.4747895963358999</v>
      </c>
      <c r="N87" s="304">
        <f t="shared" ca="1" si="46"/>
        <v>84.499219539849406</v>
      </c>
      <c r="P87" s="310">
        <f t="shared" ca="1" si="47"/>
        <v>3</v>
      </c>
      <c r="Q87" s="304">
        <f t="shared" ca="1" si="48"/>
        <v>759.65</v>
      </c>
      <c r="R87" s="306">
        <f t="shared" ca="1" si="49"/>
        <v>0.38123294159942084</v>
      </c>
      <c r="S87" s="307">
        <f t="shared" ca="1" si="50"/>
        <v>6.8539198289423187</v>
      </c>
      <c r="T87" s="304">
        <f t="shared" ca="1" si="30"/>
        <v>67.23695352192415</v>
      </c>
      <c r="U87" s="311">
        <f t="shared" ca="1" si="31"/>
        <v>0</v>
      </c>
      <c r="V87" s="306">
        <f t="shared" ca="1" si="32"/>
        <v>1.2207231485084422</v>
      </c>
      <c r="W87" s="304">
        <f t="shared" ca="1" si="33"/>
        <v>20.639869153229867</v>
      </c>
      <c r="Y87" s="314" t="str">
        <f t="shared" ca="1" si="51"/>
        <v/>
      </c>
      <c r="Z87" s="315" t="str">
        <f t="shared" ca="1" si="52"/>
        <v/>
      </c>
      <c r="AA87" s="316" t="str">
        <f t="shared" ca="1" si="53"/>
        <v/>
      </c>
      <c r="AC87" s="310" t="e">
        <f t="shared" ca="1" si="54"/>
        <v>#N/A</v>
      </c>
      <c r="AD87" s="323" t="e">
        <f t="shared" ca="1" si="55"/>
        <v>#N/A</v>
      </c>
      <c r="AE87" s="324">
        <f t="shared" ca="1" si="34"/>
        <v>34.97412611207745</v>
      </c>
      <c r="AG87" s="306">
        <f t="shared" ca="1" si="56"/>
        <v>98.12685942350106</v>
      </c>
      <c r="AH87" s="304">
        <f t="shared" ca="1" si="57"/>
        <v>107.89178705334764</v>
      </c>
    </row>
    <row r="88" spans="1:34" x14ac:dyDescent="0.2">
      <c r="A88" s="347">
        <f t="shared" ca="1" si="35"/>
        <v>0.01</v>
      </c>
      <c r="B88" s="304">
        <f t="shared" ca="1" si="36"/>
        <v>0.84000000000000052</v>
      </c>
      <c r="D88" s="306">
        <f t="shared" ca="1" si="37"/>
        <v>10.32506820279105</v>
      </c>
      <c r="E88" s="307">
        <f t="shared" ca="1" si="38"/>
        <v>97.404625327632232</v>
      </c>
      <c r="F88" s="304">
        <f t="shared" ca="1" si="39"/>
        <v>97.950334703913612</v>
      </c>
      <c r="G88" s="306">
        <f t="shared" ca="1" si="40"/>
        <v>8.2611694718608533</v>
      </c>
      <c r="H88" s="307">
        <f t="shared" ca="1" si="41"/>
        <v>85.685177388347824</v>
      </c>
      <c r="I88" s="304">
        <f t="shared" ca="1" si="42"/>
        <v>86.082498483230836</v>
      </c>
      <c r="J88" s="306">
        <f t="shared" ca="1" si="43"/>
        <v>3.3181831489365119</v>
      </c>
      <c r="K88" s="307">
        <f t="shared" ca="1" si="44"/>
        <v>35.826107654694546</v>
      </c>
      <c r="L88" s="304">
        <f t="shared" ca="1" si="29"/>
        <v>35.979443145991702</v>
      </c>
      <c r="M88" s="306">
        <f t="shared" ca="1" si="45"/>
        <v>1.4746803546359877</v>
      </c>
      <c r="N88" s="304">
        <f t="shared" ca="1" si="46"/>
        <v>84.492960451497595</v>
      </c>
      <c r="P88" s="310">
        <f t="shared" ca="1" si="47"/>
        <v>3</v>
      </c>
      <c r="Q88" s="304">
        <f t="shared" ca="1" si="48"/>
        <v>758.46999999999991</v>
      </c>
      <c r="R88" s="306">
        <f t="shared" ca="1" si="49"/>
        <v>0.38064075457765117</v>
      </c>
      <c r="S88" s="307">
        <f t="shared" ca="1" si="50"/>
        <v>6.850113421396542</v>
      </c>
      <c r="T88" s="304">
        <f t="shared" ca="1" si="30"/>
        <v>67.199612663900083</v>
      </c>
      <c r="U88" s="311">
        <f t="shared" ca="1" si="31"/>
        <v>0</v>
      </c>
      <c r="V88" s="306">
        <f t="shared" ca="1" si="32"/>
        <v>1.2206191492538225</v>
      </c>
      <c r="W88" s="304">
        <f t="shared" ca="1" si="33"/>
        <v>21.115896284236076</v>
      </c>
      <c r="Y88" s="314" t="str">
        <f t="shared" ca="1" si="51"/>
        <v/>
      </c>
      <c r="Z88" s="315" t="str">
        <f t="shared" ca="1" si="52"/>
        <v/>
      </c>
      <c r="AA88" s="316" t="str">
        <f t="shared" ca="1" si="53"/>
        <v/>
      </c>
      <c r="AC88" s="310" t="e">
        <f t="shared" ca="1" si="54"/>
        <v>#N/A</v>
      </c>
      <c r="AD88" s="323" t="e">
        <f t="shared" ca="1" si="55"/>
        <v>#N/A</v>
      </c>
      <c r="AE88" s="324">
        <f t="shared" ca="1" si="34"/>
        <v>35.826107654694546</v>
      </c>
      <c r="AG88" s="306">
        <f t="shared" ca="1" si="56"/>
        <v>97.945820504787974</v>
      </c>
      <c r="AH88" s="304">
        <f t="shared" ca="1" si="57"/>
        <v>107.71064440219847</v>
      </c>
    </row>
    <row r="89" spans="1:34" x14ac:dyDescent="0.2">
      <c r="A89" s="347">
        <f t="shared" ca="1" si="35"/>
        <v>0.01</v>
      </c>
      <c r="B89" s="304">
        <f t="shared" ca="1" si="36"/>
        <v>0.85000000000000053</v>
      </c>
      <c r="D89" s="306">
        <f t="shared" ca="1" si="37"/>
        <v>10.319305216985288</v>
      </c>
      <c r="E89" s="307">
        <f t="shared" ca="1" si="38"/>
        <v>97.222242959508748</v>
      </c>
      <c r="F89" s="304">
        <f t="shared" ca="1" si="39"/>
        <v>97.768361887877859</v>
      </c>
      <c r="G89" s="306">
        <f t="shared" ca="1" si="40"/>
        <v>8.3643625240307067</v>
      </c>
      <c r="H89" s="307">
        <f t="shared" ca="1" si="41"/>
        <v>86.657399817942917</v>
      </c>
      <c r="I89" s="304">
        <f t="shared" ca="1" si="42"/>
        <v>87.060137282456793</v>
      </c>
      <c r="J89" s="306">
        <f t="shared" ca="1" si="43"/>
        <v>3.4013108089159698</v>
      </c>
      <c r="K89" s="307">
        <f t="shared" ca="1" si="44"/>
        <v>36.687820540726001</v>
      </c>
      <c r="L89" s="304">
        <f t="shared" ca="1" si="29"/>
        <v>36.845150172680327</v>
      </c>
      <c r="M89" s="306">
        <f t="shared" ca="1" si="45"/>
        <v>1.4745722171351292</v>
      </c>
      <c r="N89" s="304">
        <f t="shared" ca="1" si="46"/>
        <v>84.486764629091311</v>
      </c>
      <c r="P89" s="310">
        <f t="shared" ca="1" si="47"/>
        <v>3</v>
      </c>
      <c r="Q89" s="304">
        <f t="shared" ca="1" si="48"/>
        <v>757.29</v>
      </c>
      <c r="R89" s="306">
        <f t="shared" ca="1" si="49"/>
        <v>0.38004856755588157</v>
      </c>
      <c r="S89" s="307">
        <f t="shared" ca="1" si="50"/>
        <v>6.8463129357209835</v>
      </c>
      <c r="T89" s="304">
        <f t="shared" ca="1" si="30"/>
        <v>67.162329899422858</v>
      </c>
      <c r="U89" s="311">
        <f t="shared" ca="1" si="31"/>
        <v>0</v>
      </c>
      <c r="V89" s="306">
        <f t="shared" ca="1" si="32"/>
        <v>1.2205139711148949</v>
      </c>
      <c r="W89" s="304">
        <f t="shared" ca="1" si="33"/>
        <v>21.59638516919291</v>
      </c>
      <c r="Y89" s="314" t="str">
        <f t="shared" ca="1" si="51"/>
        <v/>
      </c>
      <c r="Z89" s="315" t="str">
        <f t="shared" ca="1" si="52"/>
        <v/>
      </c>
      <c r="AA89" s="316" t="str">
        <f t="shared" ca="1" si="53"/>
        <v/>
      </c>
      <c r="AC89" s="310" t="e">
        <f t="shared" ca="1" si="54"/>
        <v>#N/A</v>
      </c>
      <c r="AD89" s="323" t="e">
        <f t="shared" ca="1" si="55"/>
        <v>#N/A</v>
      </c>
      <c r="AE89" s="324">
        <f t="shared" ca="1" si="34"/>
        <v>36.687820540726001</v>
      </c>
      <c r="AG89" s="306">
        <f t="shared" ca="1" si="56"/>
        <v>97.763829019755377</v>
      </c>
      <c r="AH89" s="304">
        <f t="shared" ca="1" si="57"/>
        <v>107.52855013020779</v>
      </c>
    </row>
    <row r="90" spans="1:34" x14ac:dyDescent="0.2">
      <c r="A90" s="347">
        <f t="shared" ca="1" si="35"/>
        <v>0.01</v>
      </c>
      <c r="B90" s="304">
        <f t="shared" ca="1" si="36"/>
        <v>0.86000000000000054</v>
      </c>
      <c r="D90" s="306">
        <f t="shared" ca="1" si="37"/>
        <v>10.313293516378074</v>
      </c>
      <c r="E90" s="307">
        <f t="shared" ca="1" si="38"/>
        <v>97.038931657483531</v>
      </c>
      <c r="F90" s="304">
        <f t="shared" ca="1" si="39"/>
        <v>97.585440924252254</v>
      </c>
      <c r="G90" s="306">
        <f t="shared" ca="1" si="40"/>
        <v>8.4674954591944882</v>
      </c>
      <c r="H90" s="307">
        <f t="shared" ca="1" si="41"/>
        <v>87.627789134517755</v>
      </c>
      <c r="I90" s="304">
        <f t="shared" ca="1" si="42"/>
        <v>88.035946680631469</v>
      </c>
      <c r="J90" s="306">
        <f t="shared" ca="1" si="43"/>
        <v>3.4854700988320957</v>
      </c>
      <c r="K90" s="307">
        <f t="shared" ca="1" si="44"/>
        <v>37.559246485488302</v>
      </c>
      <c r="L90" s="304">
        <f t="shared" ca="1" si="29"/>
        <v>37.720624310415623</v>
      </c>
      <c r="M90" s="306">
        <f t="shared" ca="1" si="45"/>
        <v>1.4744651583109163</v>
      </c>
      <c r="N90" s="304">
        <f t="shared" ca="1" si="46"/>
        <v>84.480630610304289</v>
      </c>
      <c r="P90" s="310">
        <f t="shared" ca="1" si="47"/>
        <v>3</v>
      </c>
      <c r="Q90" s="304">
        <f t="shared" ca="1" si="48"/>
        <v>756.1099999999999</v>
      </c>
      <c r="R90" s="306">
        <f t="shared" ca="1" si="49"/>
        <v>0.37945638053411185</v>
      </c>
      <c r="S90" s="307">
        <f t="shared" ca="1" si="50"/>
        <v>6.8425183719156424</v>
      </c>
      <c r="T90" s="304">
        <f t="shared" ca="1" si="30"/>
        <v>67.125105228492458</v>
      </c>
      <c r="U90" s="311">
        <f t="shared" ca="1" si="31"/>
        <v>0</v>
      </c>
      <c r="V90" s="306">
        <f t="shared" ca="1" si="32"/>
        <v>1.2204076166284781</v>
      </c>
      <c r="W90" s="304">
        <f t="shared" ca="1" si="33"/>
        <v>22.081298105240467</v>
      </c>
      <c r="Y90" s="314" t="str">
        <f t="shared" ca="1" si="51"/>
        <v/>
      </c>
      <c r="Z90" s="315" t="str">
        <f t="shared" ca="1" si="52"/>
        <v/>
      </c>
      <c r="AA90" s="316" t="str">
        <f t="shared" ca="1" si="53"/>
        <v/>
      </c>
      <c r="AC90" s="310" t="e">
        <f t="shared" ca="1" si="54"/>
        <v>#N/A</v>
      </c>
      <c r="AD90" s="323" t="e">
        <f t="shared" ca="1" si="55"/>
        <v>#N/A</v>
      </c>
      <c r="AE90" s="324">
        <f t="shared" ca="1" si="34"/>
        <v>37.559246485488302</v>
      </c>
      <c r="AG90" s="306">
        <f t="shared" ca="1" si="56"/>
        <v>97.58088936586357</v>
      </c>
      <c r="AH90" s="304">
        <f t="shared" ca="1" si="57"/>
        <v>107.34550861354448</v>
      </c>
    </row>
    <row r="91" spans="1:34" x14ac:dyDescent="0.2">
      <c r="A91" s="347">
        <f t="shared" ca="1" si="35"/>
        <v>0.01</v>
      </c>
      <c r="B91" s="304">
        <f t="shared" ca="1" si="36"/>
        <v>0.87000000000000055</v>
      </c>
      <c r="D91" s="306">
        <f t="shared" ca="1" si="37"/>
        <v>10.307036549492221</v>
      </c>
      <c r="E91" s="307">
        <f t="shared" ca="1" si="38"/>
        <v>96.854695565905985</v>
      </c>
      <c r="F91" s="304">
        <f t="shared" ca="1" si="39"/>
        <v>97.401576248009945</v>
      </c>
      <c r="G91" s="306">
        <f t="shared" ca="1" si="40"/>
        <v>8.5705658246894103</v>
      </c>
      <c r="H91" s="307">
        <f t="shared" ca="1" si="41"/>
        <v>88.59633609017682</v>
      </c>
      <c r="I91" s="304">
        <f t="shared" ca="1" si="42"/>
        <v>89.009917240490125</v>
      </c>
      <c r="J91" s="306">
        <f t="shared" ca="1" si="43"/>
        <v>3.5706604052515152</v>
      </c>
      <c r="K91" s="307">
        <f t="shared" ca="1" si="44"/>
        <v>38.440367111611778</v>
      </c>
      <c r="L91" s="304">
        <f t="shared" ca="1" si="29"/>
        <v>38.605847217812943</v>
      </c>
      <c r="M91" s="306">
        <f t="shared" ca="1" si="45"/>
        <v>1.4743591535075775</v>
      </c>
      <c r="N91" s="304">
        <f t="shared" ca="1" si="46"/>
        <v>84.474556982464861</v>
      </c>
      <c r="P91" s="310">
        <f t="shared" ca="1" si="47"/>
        <v>3</v>
      </c>
      <c r="Q91" s="304">
        <f t="shared" ca="1" si="48"/>
        <v>754.93</v>
      </c>
      <c r="R91" s="306">
        <f t="shared" ca="1" si="49"/>
        <v>0.37886419351234224</v>
      </c>
      <c r="S91" s="307">
        <f t="shared" ca="1" si="50"/>
        <v>6.8387297299805185</v>
      </c>
      <c r="T91" s="304">
        <f t="shared" ca="1" si="30"/>
        <v>67.087938651108885</v>
      </c>
      <c r="U91" s="311">
        <f t="shared" ca="1" si="31"/>
        <v>0</v>
      </c>
      <c r="V91" s="306">
        <f t="shared" ca="1" si="32"/>
        <v>1.2203000883452975</v>
      </c>
      <c r="W91" s="304">
        <f t="shared" ca="1" si="33"/>
        <v>22.570597248428776</v>
      </c>
      <c r="Y91" s="314" t="str">
        <f t="shared" ca="1" si="51"/>
        <v/>
      </c>
      <c r="Z91" s="315" t="str">
        <f t="shared" ca="1" si="52"/>
        <v/>
      </c>
      <c r="AA91" s="316" t="str">
        <f t="shared" ca="1" si="53"/>
        <v/>
      </c>
      <c r="AC91" s="310" t="e">
        <f t="shared" ca="1" si="54"/>
        <v>#N/A</v>
      </c>
      <c r="AD91" s="323" t="e">
        <f t="shared" ca="1" si="55"/>
        <v>#N/A</v>
      </c>
      <c r="AE91" s="324">
        <f t="shared" ca="1" si="34"/>
        <v>38.440367111611778</v>
      </c>
      <c r="AG91" s="306">
        <f t="shared" ca="1" si="56"/>
        <v>97.39700597556174</v>
      </c>
      <c r="AH91" s="304">
        <f t="shared" ca="1" si="57"/>
        <v>107.16152426407517</v>
      </c>
    </row>
    <row r="92" spans="1:34" x14ac:dyDescent="0.2">
      <c r="A92" s="347">
        <f t="shared" ca="1" si="35"/>
        <v>0.01</v>
      </c>
      <c r="B92" s="304">
        <f t="shared" ca="1" si="36"/>
        <v>0.88000000000000056</v>
      </c>
      <c r="D92" s="306">
        <f t="shared" ca="1" si="37"/>
        <v>10.300537665131014</v>
      </c>
      <c r="E92" s="307">
        <f t="shared" ca="1" si="38"/>
        <v>96.669538872515872</v>
      </c>
      <c r="F92" s="304">
        <f t="shared" ca="1" si="39"/>
        <v>97.216772328727515</v>
      </c>
      <c r="G92" s="306">
        <f t="shared" ca="1" si="40"/>
        <v>8.6735712013407209</v>
      </c>
      <c r="H92" s="307">
        <f t="shared" ca="1" si="41"/>
        <v>89.563031478901976</v>
      </c>
      <c r="I92" s="304">
        <f t="shared" ca="1" si="42"/>
        <v>89.982039569435827</v>
      </c>
      <c r="J92" s="306">
        <f t="shared" ca="1" si="43"/>
        <v>3.656881090381666</v>
      </c>
      <c r="K92" s="307">
        <f t="shared" ca="1" si="44"/>
        <v>39.331163949457171</v>
      </c>
      <c r="L92" s="304">
        <f t="shared" ca="1" si="29"/>
        <v>39.500800459335885</v>
      </c>
      <c r="M92" s="306">
        <f t="shared" ca="1" si="45"/>
        <v>1.4742541788968382</v>
      </c>
      <c r="N92" s="304">
        <f t="shared" ca="1" si="46"/>
        <v>84.468542380313465</v>
      </c>
      <c r="P92" s="310">
        <f t="shared" ca="1" si="47"/>
        <v>3</v>
      </c>
      <c r="Q92" s="304">
        <f t="shared" ca="1" si="48"/>
        <v>753.74999999999989</v>
      </c>
      <c r="R92" s="306">
        <f t="shared" ca="1" si="49"/>
        <v>0.37827200649057252</v>
      </c>
      <c r="S92" s="307">
        <f t="shared" ca="1" si="50"/>
        <v>6.8349470099156129</v>
      </c>
      <c r="T92" s="304">
        <f t="shared" ca="1" si="30"/>
        <v>67.050830167272167</v>
      </c>
      <c r="U92" s="311">
        <f t="shared" ca="1" si="31"/>
        <v>0</v>
      </c>
      <c r="V92" s="306">
        <f t="shared" ca="1" si="32"/>
        <v>1.2201913888299065</v>
      </c>
      <c r="W92" s="304">
        <f t="shared" ca="1" si="33"/>
        <v>23.064244616631274</v>
      </c>
      <c r="Y92" s="314" t="str">
        <f t="shared" ca="1" si="51"/>
        <v/>
      </c>
      <c r="Z92" s="315" t="str">
        <f t="shared" ca="1" si="52"/>
        <v/>
      </c>
      <c r="AA92" s="316" t="str">
        <f t="shared" ca="1" si="53"/>
        <v/>
      </c>
      <c r="AC92" s="310" t="e">
        <f t="shared" ca="1" si="54"/>
        <v>#N/A</v>
      </c>
      <c r="AD92" s="323" t="e">
        <f t="shared" ca="1" si="55"/>
        <v>#N/A</v>
      </c>
      <c r="AE92" s="324">
        <f t="shared" ca="1" si="34"/>
        <v>39.331163949457171</v>
      </c>
      <c r="AG92" s="306">
        <f t="shared" ca="1" si="56"/>
        <v>97.212183315955187</v>
      </c>
      <c r="AH92" s="304">
        <f t="shared" ca="1" si="57"/>
        <v>106.97660152899979</v>
      </c>
    </row>
    <row r="93" spans="1:34" x14ac:dyDescent="0.2">
      <c r="A93" s="347">
        <f t="shared" ca="1" si="35"/>
        <v>0.01</v>
      </c>
      <c r="B93" s="304">
        <f t="shared" ca="1" si="36"/>
        <v>0.89000000000000057</v>
      </c>
      <c r="D93" s="306">
        <f t="shared" ca="1" si="37"/>
        <v>10.293800117045302</v>
      </c>
      <c r="E93" s="307">
        <f t="shared" ca="1" si="38"/>
        <v>96.483465807710544</v>
      </c>
      <c r="F93" s="304">
        <f t="shared" ca="1" si="39"/>
        <v>97.031033670250736</v>
      </c>
      <c r="G93" s="306">
        <f t="shared" ca="1" si="40"/>
        <v>8.7765092025111731</v>
      </c>
      <c r="H93" s="307">
        <f t="shared" ca="1" si="41"/>
        <v>90.527866136979085</v>
      </c>
      <c r="I93" s="304">
        <f t="shared" ca="1" si="42"/>
        <v>90.952304319882785</v>
      </c>
      <c r="J93" s="306">
        <f t="shared" ca="1" si="43"/>
        <v>3.7441314924009252</v>
      </c>
      <c r="K93" s="307">
        <f t="shared" ca="1" si="44"/>
        <v>40.231618437536575</v>
      </c>
      <c r="L93" s="304">
        <f t="shared" ca="1" si="29"/>
        <v>40.405465505744651</v>
      </c>
      <c r="M93" s="306">
        <f t="shared" ca="1" si="45"/>
        <v>1.4741502114409757</v>
      </c>
      <c r="N93" s="304">
        <f t="shared" ca="1" si="46"/>
        <v>84.462585483885832</v>
      </c>
      <c r="P93" s="310">
        <f t="shared" ca="1" si="47"/>
        <v>3</v>
      </c>
      <c r="Q93" s="304">
        <f t="shared" ca="1" si="48"/>
        <v>752.56999999999994</v>
      </c>
      <c r="R93" s="306">
        <f t="shared" ca="1" si="49"/>
        <v>0.37767981946880291</v>
      </c>
      <c r="S93" s="307">
        <f t="shared" ca="1" si="50"/>
        <v>6.8311702117209245</v>
      </c>
      <c r="T93" s="304">
        <f t="shared" ca="1" si="30"/>
        <v>67.013779776982275</v>
      </c>
      <c r="U93" s="311">
        <f t="shared" ca="1" si="31"/>
        <v>0</v>
      </c>
      <c r="V93" s="306">
        <f t="shared" ca="1" si="32"/>
        <v>1.2200815206606055</v>
      </c>
      <c r="W93" s="304">
        <f t="shared" ca="1" si="33"/>
        <v>23.562202092465835</v>
      </c>
      <c r="Y93" s="314" t="str">
        <f t="shared" ca="1" si="51"/>
        <v/>
      </c>
      <c r="Z93" s="315" t="str">
        <f t="shared" ca="1" si="52"/>
        <v/>
      </c>
      <c r="AA93" s="316" t="str">
        <f t="shared" ca="1" si="53"/>
        <v/>
      </c>
      <c r="AC93" s="310" t="e">
        <f t="shared" ca="1" si="54"/>
        <v>#N/A</v>
      </c>
      <c r="AD93" s="323" t="e">
        <f t="shared" ca="1" si="55"/>
        <v>#N/A</v>
      </c>
      <c r="AE93" s="324">
        <f t="shared" ca="1" si="34"/>
        <v>40.231618437536575</v>
      </c>
      <c r="AG93" s="306">
        <f t="shared" ca="1" si="56"/>
        <v>97.026425888468509</v>
      </c>
      <c r="AH93" s="304">
        <f t="shared" ca="1" si="57"/>
        <v>106.79074489048485</v>
      </c>
    </row>
    <row r="94" spans="1:34" x14ac:dyDescent="0.2">
      <c r="A94" s="347">
        <f t="shared" ca="1" si="35"/>
        <v>0.01</v>
      </c>
      <c r="B94" s="304">
        <f t="shared" ca="1" si="36"/>
        <v>0.90000000000000058</v>
      </c>
      <c r="D94" s="306">
        <f t="shared" ca="1" si="37"/>
        <v>10.286827068336725</v>
      </c>
      <c r="E94" s="307">
        <f t="shared" ca="1" si="38"/>
        <v>96.296480643829057</v>
      </c>
      <c r="F94" s="304">
        <f t="shared" ca="1" si="39"/>
        <v>96.84436481035543</v>
      </c>
      <c r="G94" s="306">
        <f t="shared" ca="1" si="40"/>
        <v>8.8793774731945412</v>
      </c>
      <c r="H94" s="307">
        <f t="shared" ca="1" si="41"/>
        <v>91.490830943417379</v>
      </c>
      <c r="I94" s="304">
        <f t="shared" ca="1" si="42"/>
        <v>91.920702189596298</v>
      </c>
      <c r="J94" s="306">
        <f t="shared" ca="1" si="43"/>
        <v>3.8324109257794539</v>
      </c>
      <c r="K94" s="307">
        <f t="shared" ca="1" si="44"/>
        <v>41.141711922938555</v>
      </c>
      <c r="L94" s="304">
        <f t="shared" ca="1" si="29"/>
        <v>41.319823734547782</v>
      </c>
      <c r="M94" s="306">
        <f t="shared" ca="1" si="45"/>
        <v>1.4740472288579221</v>
      </c>
      <c r="N94" s="304">
        <f t="shared" ca="1" si="46"/>
        <v>84.456685016513504</v>
      </c>
      <c r="P94" s="310">
        <f t="shared" ca="1" si="47"/>
        <v>3</v>
      </c>
      <c r="Q94" s="304">
        <f t="shared" ca="1" si="48"/>
        <v>751.38999999999987</v>
      </c>
      <c r="R94" s="306">
        <f t="shared" ca="1" si="49"/>
        <v>0.37708763244703325</v>
      </c>
      <c r="S94" s="307">
        <f t="shared" ca="1" si="50"/>
        <v>6.8273993353964544</v>
      </c>
      <c r="T94" s="304">
        <f t="shared" ca="1" si="30"/>
        <v>66.976787480239224</v>
      </c>
      <c r="U94" s="311">
        <f t="shared" ca="1" si="31"/>
        <v>0</v>
      </c>
      <c r="V94" s="306">
        <f t="shared" ca="1" si="32"/>
        <v>1.2199704864293621</v>
      </c>
      <c r="W94" s="304">
        <f t="shared" ca="1" si="33"/>
        <v>24.06443142622291</v>
      </c>
      <c r="Y94" s="314" t="str">
        <f t="shared" ca="1" si="51"/>
        <v/>
      </c>
      <c r="Z94" s="315" t="str">
        <f t="shared" ca="1" si="52"/>
        <v/>
      </c>
      <c r="AA94" s="316" t="str">
        <f t="shared" ca="1" si="53"/>
        <v/>
      </c>
      <c r="AC94" s="310" t="e">
        <f t="shared" ca="1" si="54"/>
        <v>#N/A</v>
      </c>
      <c r="AD94" s="323" t="e">
        <f t="shared" ca="1" si="55"/>
        <v>#N/A</v>
      </c>
      <c r="AE94" s="324">
        <f t="shared" ca="1" si="34"/>
        <v>41.141711922938555</v>
      </c>
      <c r="AG94" s="306">
        <f t="shared" ca="1" si="56"/>
        <v>96.839738228503677</v>
      </c>
      <c r="AH94" s="304">
        <f t="shared" ca="1" si="57"/>
        <v>106.60395886529325</v>
      </c>
    </row>
    <row r="95" spans="1:34" x14ac:dyDescent="0.2">
      <c r="A95" s="347">
        <f t="shared" ca="1" si="35"/>
        <v>0.01</v>
      </c>
      <c r="B95" s="304">
        <f t="shared" ca="1" si="36"/>
        <v>0.91000000000000059</v>
      </c>
      <c r="D95" s="306">
        <f t="shared" ca="1" si="37"/>
        <v>10.279621595614895</v>
      </c>
      <c r="E95" s="307">
        <f t="shared" ca="1" si="38"/>
        <v>96.108587694452709</v>
      </c>
      <c r="F95" s="304">
        <f t="shared" ca="1" si="39"/>
        <v>96.656770320404036</v>
      </c>
      <c r="G95" s="306">
        <f t="shared" ca="1" si="40"/>
        <v>8.9821736891506898</v>
      </c>
      <c r="H95" s="307">
        <f t="shared" ca="1" si="41"/>
        <v>92.451916820361902</v>
      </c>
      <c r="I95" s="304">
        <f t="shared" ca="1" si="42"/>
        <v>92.887223922029165</v>
      </c>
      <c r="J95" s="306">
        <f t="shared" ca="1" si="43"/>
        <v>3.9217186815911802</v>
      </c>
      <c r="K95" s="307">
        <f t="shared" ca="1" si="44"/>
        <v>42.061425661757454</v>
      </c>
      <c r="L95" s="304">
        <f t="shared" ca="1" si="29"/>
        <v>42.243856430457313</v>
      </c>
      <c r="M95" s="306">
        <f t="shared" ca="1" si="45"/>
        <v>1.473945209588279</v>
      </c>
      <c r="N95" s="304">
        <f t="shared" ca="1" si="46"/>
        <v>84.450839742933951</v>
      </c>
      <c r="P95" s="310">
        <f t="shared" ca="1" si="47"/>
        <v>3</v>
      </c>
      <c r="Q95" s="304">
        <f t="shared" ca="1" si="48"/>
        <v>750.20999999999992</v>
      </c>
      <c r="R95" s="306">
        <f t="shared" ca="1" si="49"/>
        <v>0.37649544542526359</v>
      </c>
      <c r="S95" s="307">
        <f t="shared" ca="1" si="50"/>
        <v>6.8236343809422015</v>
      </c>
      <c r="T95" s="304">
        <f t="shared" ca="1" si="30"/>
        <v>66.939853277042999</v>
      </c>
      <c r="U95" s="311">
        <f t="shared" ca="1" si="31"/>
        <v>0</v>
      </c>
      <c r="V95" s="306">
        <f t="shared" ca="1" si="32"/>
        <v>1.2198582887417277</v>
      </c>
      <c r="W95" s="304">
        <f t="shared" ca="1" si="33"/>
        <v>24.570894238800292</v>
      </c>
      <c r="Y95" s="314" t="str">
        <f t="shared" ca="1" si="51"/>
        <v/>
      </c>
      <c r="Z95" s="315" t="str">
        <f t="shared" ca="1" si="52"/>
        <v/>
      </c>
      <c r="AA95" s="316" t="str">
        <f t="shared" ca="1" si="53"/>
        <v/>
      </c>
      <c r="AC95" s="310" t="e">
        <f t="shared" ca="1" si="54"/>
        <v>#N/A</v>
      </c>
      <c r="AD95" s="323" t="e">
        <f t="shared" ca="1" si="55"/>
        <v>#N/A</v>
      </c>
      <c r="AE95" s="324">
        <f t="shared" ca="1" si="34"/>
        <v>42.061425661757454</v>
      </c>
      <c r="AG95" s="306">
        <f t="shared" ca="1" si="56"/>
        <v>96.652124905094382</v>
      </c>
      <c r="AH95" s="304">
        <f t="shared" ca="1" si="57"/>
        <v>106.41624800441191</v>
      </c>
    </row>
    <row r="96" spans="1:34" x14ac:dyDescent="0.2">
      <c r="A96" s="347">
        <f t="shared" ca="1" si="35"/>
        <v>0.01</v>
      </c>
      <c r="B96" s="304">
        <f t="shared" ca="1" si="36"/>
        <v>0.9200000000000006</v>
      </c>
      <c r="D96" s="306">
        <f t="shared" ca="1" si="37"/>
        <v>10.27218669292462</v>
      </c>
      <c r="E96" s="307">
        <f t="shared" ca="1" si="38"/>
        <v>95.919791313720765</v>
      </c>
      <c r="F96" s="304">
        <f t="shared" ca="1" si="39"/>
        <v>96.468254804998097</v>
      </c>
      <c r="G96" s="306">
        <f t="shared" ca="1" si="40"/>
        <v>9.0848955560799354</v>
      </c>
      <c r="H96" s="307">
        <f t="shared" ca="1" si="41"/>
        <v>93.411114733499105</v>
      </c>
      <c r="I96" s="304">
        <f t="shared" ca="1" si="42"/>
        <v>93.851860306654629</v>
      </c>
      <c r="J96" s="306">
        <f t="shared" ca="1" si="43"/>
        <v>4.0120540278173333</v>
      </c>
      <c r="K96" s="307">
        <f t="shared" ca="1" si="44"/>
        <v>42.990740819526756</v>
      </c>
      <c r="L96" s="304">
        <f t="shared" ca="1" si="29"/>
        <v>43.177544785847296</v>
      </c>
      <c r="M96" s="306">
        <f t="shared" ca="1" si="45"/>
        <v>1.4738441327641205</v>
      </c>
      <c r="N96" s="304">
        <f t="shared" ca="1" si="46"/>
        <v>84.445048467503085</v>
      </c>
      <c r="P96" s="310">
        <f t="shared" ca="1" si="47"/>
        <v>3</v>
      </c>
      <c r="Q96" s="304">
        <f t="shared" ca="1" si="48"/>
        <v>749.03</v>
      </c>
      <c r="R96" s="306">
        <f t="shared" ca="1" si="49"/>
        <v>0.37590325840349398</v>
      </c>
      <c r="S96" s="307">
        <f t="shared" ca="1" si="50"/>
        <v>6.8198753483581669</v>
      </c>
      <c r="T96" s="304">
        <f t="shared" ca="1" si="30"/>
        <v>66.902977167393615</v>
      </c>
      <c r="U96" s="311">
        <f t="shared" ca="1" si="31"/>
        <v>0</v>
      </c>
      <c r="V96" s="306">
        <f t="shared" ca="1" si="32"/>
        <v>1.2197449302167602</v>
      </c>
      <c r="W96" s="304">
        <f t="shared" ca="1" si="33"/>
        <v>25.08155202464442</v>
      </c>
      <c r="Y96" s="314" t="str">
        <f t="shared" ca="1" si="51"/>
        <v/>
      </c>
      <c r="Z96" s="315" t="str">
        <f t="shared" ca="1" si="52"/>
        <v/>
      </c>
      <c r="AA96" s="316" t="str">
        <f t="shared" ca="1" si="53"/>
        <v/>
      </c>
      <c r="AC96" s="310" t="e">
        <f t="shared" ca="1" si="54"/>
        <v>#N/A</v>
      </c>
      <c r="AD96" s="323" t="e">
        <f t="shared" ca="1" si="55"/>
        <v>#N/A</v>
      </c>
      <c r="AE96" s="324">
        <f t="shared" ca="1" si="34"/>
        <v>42.990740819526756</v>
      </c>
      <c r="AG96" s="306">
        <f t="shared" ca="1" si="56"/>
        <v>96.463590520555996</v>
      </c>
      <c r="AH96" s="304">
        <f t="shared" ca="1" si="57"/>
        <v>106.22761689267645</v>
      </c>
    </row>
    <row r="97" spans="1:34" x14ac:dyDescent="0.2">
      <c r="A97" s="347">
        <f t="shared" ca="1" si="35"/>
        <v>0.01</v>
      </c>
      <c r="B97" s="304">
        <f t="shared" ca="1" si="36"/>
        <v>0.9300000000000006</v>
      </c>
      <c r="D97" s="306">
        <f t="shared" ca="1" si="37"/>
        <v>10.264525275458226</v>
      </c>
      <c r="E97" s="307">
        <f t="shared" ca="1" si="38"/>
        <v>95.730095895659815</v>
      </c>
      <c r="F97" s="304">
        <f t="shared" ca="1" si="39"/>
        <v>96.278822901626427</v>
      </c>
      <c r="G97" s="306">
        <f t="shared" ca="1" si="40"/>
        <v>9.1875408088345178</v>
      </c>
      <c r="H97" s="307">
        <f t="shared" ca="1" si="41"/>
        <v>94.368415692455699</v>
      </c>
      <c r="I97" s="304">
        <f t="shared" ca="1" si="42"/>
        <v>94.814602179295775</v>
      </c>
      <c r="J97" s="306">
        <f t="shared" ca="1" si="43"/>
        <v>4.1034162096419058</v>
      </c>
      <c r="K97" s="307">
        <f t="shared" ca="1" si="44"/>
        <v>43.929638471656531</v>
      </c>
      <c r="L97" s="304">
        <f t="shared" ca="1" si="29"/>
        <v>44.120869901215656</v>
      </c>
      <c r="M97" s="306">
        <f t="shared" ca="1" si="45"/>
        <v>1.4737439781794688</v>
      </c>
      <c r="N97" s="304">
        <f t="shared" ca="1" si="46"/>
        <v>84.439310032503656</v>
      </c>
      <c r="P97" s="310">
        <f t="shared" ca="1" si="47"/>
        <v>3</v>
      </c>
      <c r="Q97" s="304">
        <f t="shared" ca="1" si="48"/>
        <v>747.84999999999991</v>
      </c>
      <c r="R97" s="306">
        <f t="shared" ca="1" si="49"/>
        <v>0.37531107138172431</v>
      </c>
      <c r="S97" s="307">
        <f t="shared" ca="1" si="50"/>
        <v>6.8161222376443495</v>
      </c>
      <c r="T97" s="304">
        <f t="shared" ca="1" si="30"/>
        <v>66.866159151291072</v>
      </c>
      <c r="U97" s="311">
        <f t="shared" ca="1" si="31"/>
        <v>0</v>
      </c>
      <c r="V97" s="306">
        <f t="shared" ca="1" si="32"/>
        <v>1.2196304134869351</v>
      </c>
      <c r="W97" s="304">
        <f t="shared" ca="1" si="33"/>
        <v>25.596366154697304</v>
      </c>
      <c r="Y97" s="314" t="str">
        <f t="shared" ca="1" si="51"/>
        <v/>
      </c>
      <c r="Z97" s="315" t="str">
        <f t="shared" ca="1" si="52"/>
        <v/>
      </c>
      <c r="AA97" s="316" t="str">
        <f t="shared" ca="1" si="53"/>
        <v/>
      </c>
      <c r="AC97" s="310" t="e">
        <f t="shared" ca="1" si="54"/>
        <v>#N/A</v>
      </c>
      <c r="AD97" s="323" t="e">
        <f t="shared" ca="1" si="55"/>
        <v>#N/A</v>
      </c>
      <c r="AE97" s="324">
        <f t="shared" ca="1" si="34"/>
        <v>43.929638471656531</v>
      </c>
      <c r="AG97" s="306">
        <f t="shared" ca="1" si="56"/>
        <v>96.274139710131706</v>
      </c>
      <c r="AH97" s="304">
        <f t="shared" ca="1" si="57"/>
        <v>106.03807014839336</v>
      </c>
    </row>
    <row r="98" spans="1:34" x14ac:dyDescent="0.2">
      <c r="A98" s="347">
        <f t="shared" ca="1" si="35"/>
        <v>0.01</v>
      </c>
      <c r="B98" s="304">
        <f t="shared" ca="1" si="36"/>
        <v>0.94000000000000061</v>
      </c>
      <c r="D98" s="306">
        <f t="shared" ca="1" si="37"/>
        <v>10.256640183066631</v>
      </c>
      <c r="E98" s="307">
        <f t="shared" ca="1" si="38"/>
        <v>95.539505873526451</v>
      </c>
      <c r="F98" s="304">
        <f t="shared" ca="1" si="39"/>
        <v>96.088479280309627</v>
      </c>
      <c r="G98" s="306">
        <f t="shared" ca="1" si="40"/>
        <v>9.2901072106651839</v>
      </c>
      <c r="H98" s="307">
        <f t="shared" ca="1" si="41"/>
        <v>95.323810751190962</v>
      </c>
      <c r="I98" s="304">
        <f t="shared" ca="1" si="42"/>
        <v>95.775440422451325</v>
      </c>
      <c r="J98" s="306">
        <f t="shared" ca="1" si="43"/>
        <v>4.1958044497394047</v>
      </c>
      <c r="K98" s="307">
        <f t="shared" ca="1" si="44"/>
        <v>44.878099603874766</v>
      </c>
      <c r="L98" s="304">
        <f t="shared" ca="1" si="29"/>
        <v>45.073812785649245</v>
      </c>
      <c r="M98" s="306">
        <f t="shared" ca="1" si="45"/>
        <v>1.4736447262623353</v>
      </c>
      <c r="N98" s="304">
        <f t="shared" ca="1" si="46"/>
        <v>84.433623316543319</v>
      </c>
      <c r="P98" s="310">
        <f t="shared" ca="1" si="47"/>
        <v>3</v>
      </c>
      <c r="Q98" s="304">
        <f t="shared" ca="1" si="48"/>
        <v>746.67</v>
      </c>
      <c r="R98" s="306">
        <f t="shared" ca="1" si="49"/>
        <v>0.37471888435995465</v>
      </c>
      <c r="S98" s="307">
        <f t="shared" ca="1" si="50"/>
        <v>6.8123750488007504</v>
      </c>
      <c r="T98" s="304">
        <f t="shared" ca="1" si="30"/>
        <v>66.829399228735369</v>
      </c>
      <c r="U98" s="311">
        <f t="shared" ca="1" si="31"/>
        <v>0</v>
      </c>
      <c r="V98" s="306">
        <f t="shared" ca="1" si="32"/>
        <v>1.2195147411980689</v>
      </c>
      <c r="W98" s="304">
        <f t="shared" ca="1" si="33"/>
        <v>26.115297879349228</v>
      </c>
      <c r="Y98" s="314" t="str">
        <f t="shared" ca="1" si="51"/>
        <v/>
      </c>
      <c r="Z98" s="315" t="str">
        <f t="shared" ca="1" si="52"/>
        <v/>
      </c>
      <c r="AA98" s="316" t="str">
        <f t="shared" ca="1" si="53"/>
        <v/>
      </c>
      <c r="AC98" s="310" t="e">
        <f t="shared" ca="1" si="54"/>
        <v>#N/A</v>
      </c>
      <c r="AD98" s="323" t="e">
        <f t="shared" ca="1" si="55"/>
        <v>#N/A</v>
      </c>
      <c r="AE98" s="324">
        <f t="shared" ca="1" si="34"/>
        <v>44.878099603874766</v>
      </c>
      <c r="AG98" s="306">
        <f t="shared" ca="1" si="56"/>
        <v>96.083777141634769</v>
      </c>
      <c r="AH98" s="304">
        <f t="shared" ca="1" si="57"/>
        <v>105.84761242295964</v>
      </c>
    </row>
    <row r="99" spans="1:34" x14ac:dyDescent="0.2">
      <c r="A99" s="347">
        <f t="shared" ca="1" si="35"/>
        <v>0.01</v>
      </c>
      <c r="B99" s="304">
        <f t="shared" ca="1" si="36"/>
        <v>0.95000000000000062</v>
      </c>
      <c r="D99" s="306">
        <f t="shared" ca="1" si="37"/>
        <v>10.24853418358216</v>
      </c>
      <c r="E99" s="307">
        <f t="shared" ca="1" si="38"/>
        <v>95.348025719161541</v>
      </c>
      <c r="F99" s="304">
        <f t="shared" ca="1" si="39"/>
        <v>95.897228643240481</v>
      </c>
      <c r="G99" s="306">
        <f t="shared" ca="1" si="40"/>
        <v>9.3925925525010054</v>
      </c>
      <c r="H99" s="307">
        <f t="shared" ca="1" si="41"/>
        <v>96.277291008382576</v>
      </c>
      <c r="I99" s="304">
        <f t="shared" ca="1" si="42"/>
        <v>96.73436596561784</v>
      </c>
      <c r="J99" s="306">
        <f t="shared" ca="1" si="43"/>
        <v>4.289217948555236</v>
      </c>
      <c r="K99" s="307">
        <f t="shared" ca="1" si="44"/>
        <v>45.836105112672634</v>
      </c>
      <c r="L99" s="304">
        <f t="shared" ca="1" si="29"/>
        <v>46.036354357292268</v>
      </c>
      <c r="M99" s="306">
        <f t="shared" ca="1" si="45"/>
        <v>1.473546358048228</v>
      </c>
      <c r="N99" s="304">
        <f t="shared" ca="1" si="46"/>
        <v>84.427987233036731</v>
      </c>
      <c r="P99" s="310">
        <f t="shared" ca="1" si="47"/>
        <v>3</v>
      </c>
      <c r="Q99" s="304">
        <f t="shared" ca="1" si="48"/>
        <v>745.4899999999999</v>
      </c>
      <c r="R99" s="306">
        <f t="shared" ca="1" si="49"/>
        <v>0.37412669733818499</v>
      </c>
      <c r="S99" s="307">
        <f t="shared" ca="1" si="50"/>
        <v>6.8086337818273686</v>
      </c>
      <c r="T99" s="304">
        <f t="shared" ca="1" si="30"/>
        <v>66.792697399726492</v>
      </c>
      <c r="U99" s="311">
        <f t="shared" ca="1" si="31"/>
        <v>0</v>
      </c>
      <c r="V99" s="306">
        <f t="shared" ca="1" si="32"/>
        <v>1.2193979160092301</v>
      </c>
      <c r="W99" s="304">
        <f t="shared" ca="1" si="33"/>
        <v>26.638308331396395</v>
      </c>
      <c r="Y99" s="314" t="str">
        <f t="shared" ca="1" si="51"/>
        <v/>
      </c>
      <c r="Z99" s="315" t="str">
        <f t="shared" ca="1" si="52"/>
        <v/>
      </c>
      <c r="AA99" s="316" t="str">
        <f t="shared" ca="1" si="53"/>
        <v/>
      </c>
      <c r="AC99" s="310" t="e">
        <f t="shared" ca="1" si="54"/>
        <v>#N/A</v>
      </c>
      <c r="AD99" s="323" t="e">
        <f t="shared" ca="1" si="55"/>
        <v>#N/A</v>
      </c>
      <c r="AE99" s="324">
        <f t="shared" ca="1" si="34"/>
        <v>45.836105112672634</v>
      </c>
      <c r="AG99" s="306">
        <f t="shared" ca="1" si="56"/>
        <v>95.89250751508709</v>
      </c>
      <c r="AH99" s="304">
        <f t="shared" ca="1" si="57"/>
        <v>105.65624840047981</v>
      </c>
    </row>
    <row r="100" spans="1:34" x14ac:dyDescent="0.2">
      <c r="A100" s="347">
        <f t="shared" ca="1" si="35"/>
        <v>0.01</v>
      </c>
      <c r="B100" s="304">
        <f t="shared" ca="1" si="36"/>
        <v>0.96000000000000063</v>
      </c>
      <c r="D100" s="306">
        <f t="shared" ca="1" si="37"/>
        <v>10.240209975965019</v>
      </c>
      <c r="E100" s="307">
        <f t="shared" ca="1" si="38"/>
        <v>95.155659942356081</v>
      </c>
      <c r="F100" s="304">
        <f t="shared" ca="1" si="39"/>
        <v>95.705075724421036</v>
      </c>
      <c r="G100" s="306">
        <f t="shared" ca="1" si="40"/>
        <v>9.4949946522606563</v>
      </c>
      <c r="H100" s="307">
        <f t="shared" ca="1" si="41"/>
        <v>97.228847607806131</v>
      </c>
      <c r="I100" s="304">
        <f t="shared" ca="1" si="42"/>
        <v>97.691369785608217</v>
      </c>
      <c r="J100" s="306">
        <f t="shared" ca="1" si="43"/>
        <v>4.3836558845790439</v>
      </c>
      <c r="K100" s="307">
        <f t="shared" ca="1" si="44"/>
        <v>46.803635805753579</v>
      </c>
      <c r="L100" s="304">
        <f t="shared" ca="1" si="29"/>
        <v>47.008475443817822</v>
      </c>
      <c r="M100" s="306">
        <f t="shared" ca="1" si="45"/>
        <v>1.4734488551550351</v>
      </c>
      <c r="N100" s="304">
        <f t="shared" ca="1" si="46"/>
        <v>84.422400728766462</v>
      </c>
      <c r="P100" s="310">
        <f t="shared" ca="1" si="47"/>
        <v>3</v>
      </c>
      <c r="Q100" s="304">
        <f t="shared" ca="1" si="48"/>
        <v>744.31</v>
      </c>
      <c r="R100" s="306">
        <f t="shared" ca="1" si="49"/>
        <v>0.37353451031641538</v>
      </c>
      <c r="S100" s="307">
        <f t="shared" ca="1" si="50"/>
        <v>6.804898436724204</v>
      </c>
      <c r="T100" s="304">
        <f t="shared" ca="1" si="30"/>
        <v>66.756053664264442</v>
      </c>
      <c r="U100" s="311">
        <f t="shared" ca="1" si="31"/>
        <v>0</v>
      </c>
      <c r="V100" s="306">
        <f t="shared" ca="1" si="32"/>
        <v>1.2192799405926595</v>
      </c>
      <c r="W100" s="304">
        <f t="shared" ca="1" si="33"/>
        <v>27.165358529003374</v>
      </c>
      <c r="Y100" s="314" t="str">
        <f t="shared" ca="1" si="51"/>
        <v/>
      </c>
      <c r="Z100" s="315" t="str">
        <f t="shared" ca="1" si="52"/>
        <v/>
      </c>
      <c r="AA100" s="316" t="str">
        <f t="shared" ca="1" si="53"/>
        <v/>
      </c>
      <c r="AC100" s="310" t="e">
        <f t="shared" ca="1" si="54"/>
        <v>#N/A</v>
      </c>
      <c r="AD100" s="323" t="e">
        <f t="shared" ca="1" si="55"/>
        <v>#N/A</v>
      </c>
      <c r="AE100" s="324">
        <f t="shared" ca="1" si="34"/>
        <v>46.803635805753579</v>
      </c>
      <c r="AG100" s="306">
        <f t="shared" ca="1" si="56"/>
        <v>95.700335562354226</v>
      </c>
      <c r="AH100" s="304">
        <f t="shared" ca="1" si="57"/>
        <v>105.4639827973806</v>
      </c>
    </row>
    <row r="101" spans="1:34" x14ac:dyDescent="0.2">
      <c r="A101" s="347">
        <f t="shared" ca="1" si="35"/>
        <v>0.01</v>
      </c>
      <c r="B101" s="304">
        <f t="shared" ca="1" si="36"/>
        <v>0.97000000000000064</v>
      </c>
      <c r="D101" s="306">
        <f t="shared" ca="1" si="37"/>
        <v>10.231670193284089</v>
      </c>
      <c r="E101" s="307">
        <f t="shared" ca="1" si="38"/>
        <v>94.962413090227216</v>
      </c>
      <c r="F101" s="304">
        <f t="shared" ca="1" si="39"/>
        <v>95.512025289295892</v>
      </c>
      <c r="G101" s="306">
        <f t="shared" ca="1" si="40"/>
        <v>9.5973113541934971</v>
      </c>
      <c r="H101" s="307">
        <f t="shared" ca="1" si="41"/>
        <v>98.178471738708396</v>
      </c>
      <c r="I101" s="304">
        <f t="shared" ca="1" si="42"/>
        <v>98.646442906866625</v>
      </c>
      <c r="J101" s="306">
        <f t="shared" ca="1" si="43"/>
        <v>4.4791174146113146</v>
      </c>
      <c r="K101" s="307">
        <f t="shared" ca="1" si="44"/>
        <v>47.780672402486154</v>
      </c>
      <c r="L101" s="304">
        <f t="shared" ca="1" si="29"/>
        <v>47.990156782902645</v>
      </c>
      <c r="M101" s="306">
        <f t="shared" ca="1" si="45"/>
        <v>1.4733521997591981</v>
      </c>
      <c r="N101" s="304">
        <f t="shared" ca="1" si="46"/>
        <v>84.416862782517839</v>
      </c>
      <c r="P101" s="310">
        <f t="shared" ca="1" si="47"/>
        <v>3</v>
      </c>
      <c r="Q101" s="304">
        <f t="shared" ca="1" si="48"/>
        <v>743.12999999999988</v>
      </c>
      <c r="R101" s="306">
        <f t="shared" ca="1" si="49"/>
        <v>0.37294232329464566</v>
      </c>
      <c r="S101" s="307">
        <f t="shared" ca="1" si="50"/>
        <v>6.8011690134912577</v>
      </c>
      <c r="T101" s="304">
        <f t="shared" ca="1" si="30"/>
        <v>66.719468022349247</v>
      </c>
      <c r="U101" s="311">
        <f t="shared" ca="1" si="31"/>
        <v>0</v>
      </c>
      <c r="V101" s="306">
        <f t="shared" ca="1" si="32"/>
        <v>1.219160817633683</v>
      </c>
      <c r="W101" s="304">
        <f t="shared" ca="1" si="33"/>
        <v>27.696409378669923</v>
      </c>
      <c r="Y101" s="314" t="str">
        <f t="shared" ca="1" si="51"/>
        <v/>
      </c>
      <c r="Z101" s="315" t="str">
        <f t="shared" ca="1" si="52"/>
        <v/>
      </c>
      <c r="AA101" s="316" t="str">
        <f t="shared" ca="1" si="53"/>
        <v/>
      </c>
      <c r="AC101" s="310" t="e">
        <f t="shared" ca="1" si="54"/>
        <v>#N/A</v>
      </c>
      <c r="AD101" s="323" t="e">
        <f t="shared" ca="1" si="55"/>
        <v>#N/A</v>
      </c>
      <c r="AE101" s="324">
        <f t="shared" ca="1" si="34"/>
        <v>47.780672402486154</v>
      </c>
      <c r="AG101" s="306">
        <f t="shared" ca="1" si="56"/>
        <v>95.507266046777062</v>
      </c>
      <c r="AH101" s="304">
        <f t="shared" ca="1" si="57"/>
        <v>105.27082036202317</v>
      </c>
    </row>
    <row r="102" spans="1:34" x14ac:dyDescent="0.2">
      <c r="A102" s="347">
        <f t="shared" ca="1" si="35"/>
        <v>0.01</v>
      </c>
      <c r="B102" s="304">
        <f t="shared" ca="1" si="36"/>
        <v>0.98000000000000065</v>
      </c>
      <c r="D102" s="306">
        <f t="shared" ca="1" si="37"/>
        <v>10.222917405542658</v>
      </c>
      <c r="E102" s="307">
        <f t="shared" ca="1" si="38"/>
        <v>94.768289746604054</v>
      </c>
      <c r="F102" s="304">
        <f t="shared" ca="1" si="39"/>
        <v>95.31808213438228</v>
      </c>
      <c r="G102" s="306">
        <f t="shared" ca="1" si="40"/>
        <v>9.6995405282489244</v>
      </c>
      <c r="H102" s="307">
        <f t="shared" ca="1" si="41"/>
        <v>99.126154636174434</v>
      </c>
      <c r="I102" s="304">
        <f t="shared" ca="1" si="42"/>
        <v>99.599576401779487</v>
      </c>
      <c r="J102" s="306">
        <f t="shared" ca="1" si="43"/>
        <v>4.5756016740235266</v>
      </c>
      <c r="K102" s="307">
        <f t="shared" ca="1" si="44"/>
        <v>48.767195534360567</v>
      </c>
      <c r="L102" s="304">
        <f t="shared" ca="1" si="29"/>
        <v>48.981379022704992</v>
      </c>
      <c r="M102" s="306">
        <f t="shared" ca="1" si="45"/>
        <v>1.4732563745730962</v>
      </c>
      <c r="N102" s="304">
        <f t="shared" ca="1" si="46"/>
        <v>84.411372403783147</v>
      </c>
      <c r="P102" s="310">
        <f t="shared" ca="1" si="47"/>
        <v>3</v>
      </c>
      <c r="Q102" s="304">
        <f t="shared" ca="1" si="48"/>
        <v>741.94999999999993</v>
      </c>
      <c r="R102" s="306">
        <f t="shared" ca="1" si="49"/>
        <v>0.37235013627287605</v>
      </c>
      <c r="S102" s="307">
        <f t="shared" ca="1" si="50"/>
        <v>6.7974455121285287</v>
      </c>
      <c r="T102" s="304">
        <f t="shared" ca="1" si="30"/>
        <v>66.682940473980864</v>
      </c>
      <c r="U102" s="311">
        <f t="shared" ca="1" si="31"/>
        <v>0</v>
      </c>
      <c r="V102" s="306">
        <f t="shared" ca="1" si="32"/>
        <v>1.2190405498306252</v>
      </c>
      <c r="W102" s="304">
        <f t="shared" ca="1" si="33"/>
        <v>28.231421678201503</v>
      </c>
      <c r="Y102" s="314" t="str">
        <f t="shared" ca="1" si="51"/>
        <v/>
      </c>
      <c r="Z102" s="315" t="str">
        <f t="shared" ca="1" si="52"/>
        <v/>
      </c>
      <c r="AA102" s="316" t="str">
        <f t="shared" ca="1" si="53"/>
        <v/>
      </c>
      <c r="AC102" s="310" t="e">
        <f t="shared" ca="1" si="54"/>
        <v>#N/A</v>
      </c>
      <c r="AD102" s="323" t="e">
        <f t="shared" ca="1" si="55"/>
        <v>#N/A</v>
      </c>
      <c r="AE102" s="324">
        <f t="shared" ca="1" si="34"/>
        <v>48.767195534360567</v>
      </c>
      <c r="AG102" s="306">
        <f t="shared" ca="1" si="56"/>
        <v>95.313303762800075</v>
      </c>
      <c r="AH102" s="304">
        <f t="shared" ca="1" si="57"/>
        <v>105.07676587431314</v>
      </c>
    </row>
    <row r="103" spans="1:34" x14ac:dyDescent="0.2">
      <c r="A103" s="347">
        <f t="shared" ca="1" si="35"/>
        <v>0.01</v>
      </c>
      <c r="B103" s="304">
        <f t="shared" ca="1" si="36"/>
        <v>0.99000000000000066</v>
      </c>
      <c r="D103" s="306">
        <f t="shared" ca="1" si="37"/>
        <v>10.213954122358276</v>
      </c>
      <c r="E103" s="307">
        <f t="shared" ca="1" si="38"/>
        <v>94.573294531422491</v>
      </c>
      <c r="F103" s="304">
        <f t="shared" ca="1" si="39"/>
        <v>95.123251086896872</v>
      </c>
      <c r="G103" s="306">
        <f t="shared" ca="1" si="40"/>
        <v>9.801680069472507</v>
      </c>
      <c r="H103" s="307">
        <f t="shared" ca="1" si="41"/>
        <v>100.07188758148865</v>
      </c>
      <c r="I103" s="304">
        <f t="shared" ca="1" si="42"/>
        <v>100.550761390983</v>
      </c>
      <c r="J103" s="306">
        <f t="shared" ca="1" si="43"/>
        <v>4.6731077770121336</v>
      </c>
      <c r="K103" s="307">
        <f t="shared" ca="1" si="44"/>
        <v>49.76318574544888</v>
      </c>
      <c r="L103" s="304">
        <f t="shared" ca="1" si="29"/>
        <v>49.982122722345615</v>
      </c>
      <c r="M103" s="306">
        <f t="shared" ca="1" si="45"/>
        <v>1.4731613628235694</v>
      </c>
      <c r="N103" s="304">
        <f t="shared" ca="1" si="46"/>
        <v>84.405928631531097</v>
      </c>
      <c r="P103" s="310">
        <f t="shared" ca="1" si="47"/>
        <v>3</v>
      </c>
      <c r="Q103" s="304">
        <f t="shared" ca="1" si="48"/>
        <v>740.77</v>
      </c>
      <c r="R103" s="306">
        <f t="shared" ca="1" si="49"/>
        <v>0.37175794925110639</v>
      </c>
      <c r="S103" s="307">
        <f t="shared" ca="1" si="50"/>
        <v>6.7937279326360178</v>
      </c>
      <c r="T103" s="304">
        <f t="shared" ca="1" si="30"/>
        <v>66.646471019159335</v>
      </c>
      <c r="U103" s="311">
        <f t="shared" ca="1" si="31"/>
        <v>0</v>
      </c>
      <c r="V103" s="306">
        <f t="shared" ca="1" si="32"/>
        <v>1.2189191398947283</v>
      </c>
      <c r="W103" s="304">
        <f t="shared" ca="1" si="33"/>
        <v>28.770356119683676</v>
      </c>
      <c r="Y103" s="314" t="str">
        <f t="shared" ca="1" si="51"/>
        <v/>
      </c>
      <c r="Z103" s="315" t="str">
        <f t="shared" ca="1" si="52"/>
        <v/>
      </c>
      <c r="AA103" s="316" t="str">
        <f t="shared" ca="1" si="53"/>
        <v/>
      </c>
      <c r="AC103" s="310" t="e">
        <f t="shared" ca="1" si="54"/>
        <v>#N/A</v>
      </c>
      <c r="AD103" s="323" t="e">
        <f t="shared" ca="1" si="55"/>
        <v>#N/A</v>
      </c>
      <c r="AE103" s="324">
        <f t="shared" ca="1" si="34"/>
        <v>49.76318574544888</v>
      </c>
      <c r="AG103" s="306">
        <f t="shared" ca="1" si="56"/>
        <v>95.118453535596387</v>
      </c>
      <c r="AH103" s="304">
        <f t="shared" ca="1" si="57"/>
        <v>104.88182414530812</v>
      </c>
    </row>
    <row r="104" spans="1:34" x14ac:dyDescent="0.2">
      <c r="A104" s="347">
        <f t="shared" ca="1" si="35"/>
        <v>0.01</v>
      </c>
      <c r="B104" s="304">
        <f t="shared" ca="1" si="36"/>
        <v>1.0000000000000007</v>
      </c>
      <c r="D104" s="306">
        <f t="shared" ca="1" si="37"/>
        <v>10.204782795505619</v>
      </c>
      <c r="E104" s="307">
        <f t="shared" ca="1" si="38"/>
        <v>94.377432100128317</v>
      </c>
      <c r="F104" s="304">
        <f t="shared" ca="1" si="39"/>
        <v>94.927537004379175</v>
      </c>
      <c r="G104" s="306">
        <f t="shared" ca="1" si="40"/>
        <v>9.9037278974275633</v>
      </c>
      <c r="H104" s="307">
        <f t="shared" ca="1" si="41"/>
        <v>101.01566190248994</v>
      </c>
      <c r="I104" s="304">
        <f t="shared" ca="1" si="42"/>
        <v>101.49998904366662</v>
      </c>
      <c r="J104" s="306">
        <f t="shared" ca="1" si="43"/>
        <v>4.7716348168466336</v>
      </c>
      <c r="K104" s="307">
        <f t="shared" ca="1" si="44"/>
        <v>50.76862349286877</v>
      </c>
      <c r="L104" s="304">
        <f t="shared" ca="1" si="29"/>
        <v>50.992368352391807</v>
      </c>
      <c r="M104" s="306">
        <f t="shared" ca="1" si="45"/>
        <v>1.473067148231509</v>
      </c>
      <c r="N104" s="304">
        <f t="shared" ca="1" si="46"/>
        <v>84.400530533037497</v>
      </c>
      <c r="P104" s="310">
        <f t="shared" ca="1" si="47"/>
        <v>3</v>
      </c>
      <c r="Q104" s="304">
        <f t="shared" ca="1" si="48"/>
        <v>739.58999999999992</v>
      </c>
      <c r="R104" s="306">
        <f t="shared" ca="1" si="49"/>
        <v>0.37116576222933673</v>
      </c>
      <c r="S104" s="307">
        <f t="shared" ca="1" si="50"/>
        <v>6.7900162750137243</v>
      </c>
      <c r="T104" s="304">
        <f t="shared" ca="1" si="30"/>
        <v>66.610059657884634</v>
      </c>
      <c r="U104" s="311">
        <f t="shared" ca="1" si="31"/>
        <v>0</v>
      </c>
      <c r="V104" s="306">
        <f t="shared" ca="1" si="32"/>
        <v>1.2187965905500604</v>
      </c>
      <c r="W104" s="304">
        <f t="shared" ca="1" si="33"/>
        <v>29.313173292459254</v>
      </c>
      <c r="Y104" s="314" t="str">
        <f t="shared" ca="1" si="51"/>
        <v/>
      </c>
      <c r="Z104" s="315" t="str">
        <f t="shared" ca="1" si="52"/>
        <v/>
      </c>
      <c r="AA104" s="316" t="str">
        <f t="shared" ca="1" si="53"/>
        <v/>
      </c>
      <c r="AC104" s="310">
        <f t="shared" ca="1" si="54"/>
        <v>1.0000000000000007</v>
      </c>
      <c r="AD104" s="323">
        <f t="shared" ca="1" si="55"/>
        <v>4.7716348168466336</v>
      </c>
      <c r="AE104" s="324">
        <f t="shared" ca="1" si="34"/>
        <v>50.76862349286877</v>
      </c>
      <c r="AG104" s="306">
        <f t="shared" ca="1" si="56"/>
        <v>94.922720220689868</v>
      </c>
      <c r="AH104" s="304">
        <f t="shared" ca="1" si="57"/>
        <v>104.68600001682316</v>
      </c>
    </row>
    <row r="105" spans="1:34" x14ac:dyDescent="0.2">
      <c r="A105" s="347">
        <f t="shared" ca="1" si="35"/>
        <v>0.01</v>
      </c>
      <c r="B105" s="304">
        <f t="shared" ca="1" si="36"/>
        <v>1.0100000000000007</v>
      </c>
      <c r="D105" s="306">
        <f t="shared" ca="1" si="37"/>
        <v>10.192384855036959</v>
      </c>
      <c r="E105" s="307">
        <f t="shared" ca="1" si="38"/>
        <v>94.149894007579064</v>
      </c>
      <c r="F105" s="304">
        <f t="shared" ca="1" si="39"/>
        <v>94.699985484009233</v>
      </c>
      <c r="G105" s="306">
        <f t="shared" ca="1" si="40"/>
        <v>10.005651745977932</v>
      </c>
      <c r="H105" s="307">
        <f t="shared" ca="1" si="41"/>
        <v>101.95716084256573</v>
      </c>
      <c r="I105" s="304">
        <f t="shared" ca="1" si="42"/>
        <v>102.44694096916027</v>
      </c>
      <c r="J105" s="306">
        <f t="shared" ca="1" si="43"/>
        <v>4.8711817150636607</v>
      </c>
      <c r="K105" s="307">
        <f t="shared" ca="1" si="44"/>
        <v>51.783487606594051</v>
      </c>
      <c r="L105" s="304">
        <f t="shared" ca="1" si="29"/>
        <v>52.012094747312865</v>
      </c>
      <c r="M105" s="306">
        <f t="shared" ca="1" si="45"/>
        <v>1.472973714710089</v>
      </c>
      <c r="N105" s="304">
        <f t="shared" ca="1" si="46"/>
        <v>84.395177186595078</v>
      </c>
      <c r="P105" s="310">
        <f t="shared" ca="1" si="47"/>
        <v>4</v>
      </c>
      <c r="Q105" s="304">
        <f t="shared" ca="1" si="48"/>
        <v>738.19999999999982</v>
      </c>
      <c r="R105" s="306">
        <f t="shared" ca="1" si="49"/>
        <v>0.37046818599182835</v>
      </c>
      <c r="S105" s="307">
        <f t="shared" ca="1" si="50"/>
        <v>6.7863115931538056</v>
      </c>
      <c r="T105" s="304">
        <f t="shared" ca="1" si="30"/>
        <v>66.573716728838832</v>
      </c>
      <c r="U105" s="311">
        <f t="shared" ca="1" si="31"/>
        <v>0</v>
      </c>
      <c r="V105" s="306">
        <f t="shared" ca="1" si="32"/>
        <v>1.2186729047211902</v>
      </c>
      <c r="W105" s="304">
        <f t="shared" ca="1" si="33"/>
        <v>29.859653210497925</v>
      </c>
      <c r="Y105" s="314" t="str">
        <f t="shared" ca="1" si="51"/>
        <v/>
      </c>
      <c r="Z105" s="315" t="str">
        <f t="shared" ca="1" si="52"/>
        <v/>
      </c>
      <c r="AA105" s="316" t="str">
        <f t="shared" ca="1" si="53"/>
        <v/>
      </c>
      <c r="AC105" s="310" t="e">
        <f t="shared" ca="1" si="54"/>
        <v>#N/A</v>
      </c>
      <c r="AD105" s="323" t="e">
        <f t="shared" ca="1" si="55"/>
        <v>#N/A</v>
      </c>
      <c r="AE105" s="324">
        <f t="shared" ca="1" si="34"/>
        <v>51.783487606594051</v>
      </c>
      <c r="AG105" s="306">
        <f t="shared" ca="1" si="56"/>
        <v>94.695147832183537</v>
      </c>
      <c r="AH105" s="304">
        <f t="shared" ca="1" si="57"/>
        <v>104.45833748964351</v>
      </c>
    </row>
    <row r="106" spans="1:34" x14ac:dyDescent="0.2">
      <c r="A106" s="347">
        <f t="shared" ca="1" si="35"/>
        <v>0.01</v>
      </c>
      <c r="B106" s="304">
        <f t="shared" ca="1" si="36"/>
        <v>1.0200000000000007</v>
      </c>
      <c r="D106" s="306">
        <f t="shared" ca="1" si="37"/>
        <v>10.17675011749038</v>
      </c>
      <c r="E106" s="307">
        <f t="shared" ca="1" si="38"/>
        <v>93.890645887526276</v>
      </c>
      <c r="F106" s="304">
        <f t="shared" ca="1" si="39"/>
        <v>94.440561350146027</v>
      </c>
      <c r="G106" s="306">
        <f t="shared" ca="1" si="40"/>
        <v>10.107419247152835</v>
      </c>
      <c r="H106" s="307">
        <f t="shared" ca="1" si="41"/>
        <v>102.89606730144099</v>
      </c>
      <c r="I106" s="304">
        <f t="shared" ca="1" si="42"/>
        <v>103.39129842467591</v>
      </c>
      <c r="J106" s="306">
        <f t="shared" ca="1" si="43"/>
        <v>4.9717470700293145</v>
      </c>
      <c r="K106" s="307">
        <f t="shared" ca="1" si="44"/>
        <v>52.807753747314081</v>
      </c>
      <c r="L106" s="304">
        <f t="shared" ca="1" si="29"/>
        <v>53.041277555930996</v>
      </c>
      <c r="M106" s="306">
        <f t="shared" ca="1" si="45"/>
        <v>1.4728810463651767</v>
      </c>
      <c r="N106" s="304">
        <f t="shared" ca="1" si="46"/>
        <v>84.38986768153714</v>
      </c>
      <c r="P106" s="310">
        <f t="shared" ca="1" si="47"/>
        <v>4</v>
      </c>
      <c r="Q106" s="304">
        <f t="shared" ca="1" si="48"/>
        <v>736.59999999999991</v>
      </c>
      <c r="R106" s="306">
        <f t="shared" ca="1" si="49"/>
        <v>0.36966522053858142</v>
      </c>
      <c r="S106" s="307">
        <f t="shared" ca="1" si="50"/>
        <v>6.7826149409484202</v>
      </c>
      <c r="T106" s="304">
        <f t="shared" ca="1" si="30"/>
        <v>66.537452570704005</v>
      </c>
      <c r="U106" s="311">
        <f t="shared" ca="1" si="31"/>
        <v>0</v>
      </c>
      <c r="V106" s="306">
        <f t="shared" ca="1" si="32"/>
        <v>1.2185480857209763</v>
      </c>
      <c r="W106" s="304">
        <f t="shared" ca="1" si="33"/>
        <v>30.409568981342389</v>
      </c>
      <c r="Y106" s="314" t="str">
        <f t="shared" ca="1" si="51"/>
        <v/>
      </c>
      <c r="Z106" s="315" t="str">
        <f t="shared" ca="1" si="52"/>
        <v/>
      </c>
      <c r="AA106" s="316" t="str">
        <f t="shared" ca="1" si="53"/>
        <v/>
      </c>
      <c r="AC106" s="310" t="e">
        <f t="shared" ca="1" si="54"/>
        <v>#N/A</v>
      </c>
      <c r="AD106" s="323" t="e">
        <f t="shared" ca="1" si="55"/>
        <v>#N/A</v>
      </c>
      <c r="AE106" s="324">
        <f t="shared" ca="1" si="34"/>
        <v>52.807753747314081</v>
      </c>
      <c r="AG106" s="306">
        <f t="shared" ca="1" si="56"/>
        <v>94.435701158326637</v>
      </c>
      <c r="AH106" s="304">
        <f t="shared" ca="1" si="57"/>
        <v>104.19880133880602</v>
      </c>
    </row>
    <row r="107" spans="1:34" x14ac:dyDescent="0.2">
      <c r="A107" s="347">
        <f t="shared" ca="1" si="35"/>
        <v>0.01</v>
      </c>
      <c r="B107" s="304">
        <f t="shared" ca="1" si="36"/>
        <v>1.0300000000000007</v>
      </c>
      <c r="D107" s="306">
        <f t="shared" ca="1" si="37"/>
        <v>10.160898617687831</v>
      </c>
      <c r="E107" s="307">
        <f t="shared" ca="1" si="38"/>
        <v>93.630500729524741</v>
      </c>
      <c r="F107" s="304">
        <f t="shared" ca="1" si="39"/>
        <v>94.180223654334483</v>
      </c>
      <c r="G107" s="306">
        <f t="shared" ca="1" si="40"/>
        <v>10.209028233329713</v>
      </c>
      <c r="H107" s="307">
        <f t="shared" ca="1" si="41"/>
        <v>103.83237230873624</v>
      </c>
      <c r="I107" s="304">
        <f t="shared" ca="1" si="42"/>
        <v>104.33305227361528</v>
      </c>
      <c r="J107" s="306">
        <f t="shared" ca="1" si="43"/>
        <v>5.0733293074317274</v>
      </c>
      <c r="K107" s="307">
        <f t="shared" ca="1" si="44"/>
        <v>53.841395945364965</v>
      </c>
      <c r="L107" s="304">
        <f t="shared" ca="1" si="29"/>
        <v>54.079890787678266</v>
      </c>
      <c r="M107" s="306">
        <f t="shared" ca="1" si="45"/>
        <v>1.4727891277683722</v>
      </c>
      <c r="N107" s="304">
        <f t="shared" ca="1" si="46"/>
        <v>84.384601133881489</v>
      </c>
      <c r="P107" s="310">
        <f t="shared" ca="1" si="47"/>
        <v>4</v>
      </c>
      <c r="Q107" s="304">
        <f t="shared" ca="1" si="48"/>
        <v>734.99999999999989</v>
      </c>
      <c r="R107" s="306">
        <f t="shared" ca="1" si="49"/>
        <v>0.36886225508533443</v>
      </c>
      <c r="S107" s="307">
        <f t="shared" ca="1" si="50"/>
        <v>6.7789263183975672</v>
      </c>
      <c r="T107" s="304">
        <f t="shared" ca="1" si="30"/>
        <v>66.501267183480138</v>
      </c>
      <c r="U107" s="311">
        <f t="shared" ca="1" si="31"/>
        <v>0</v>
      </c>
      <c r="V107" s="306">
        <f t="shared" ca="1" si="32"/>
        <v>1.2184221370628365</v>
      </c>
      <c r="W107" s="304">
        <f t="shared" ca="1" si="33"/>
        <v>30.962870814711074</v>
      </c>
      <c r="Y107" s="314" t="str">
        <f t="shared" ca="1" si="51"/>
        <v/>
      </c>
      <c r="Z107" s="315" t="str">
        <f t="shared" ca="1" si="52"/>
        <v/>
      </c>
      <c r="AA107" s="316" t="str">
        <f t="shared" ca="1" si="53"/>
        <v/>
      </c>
      <c r="AC107" s="310" t="e">
        <f t="shared" ca="1" si="54"/>
        <v>#N/A</v>
      </c>
      <c r="AD107" s="323" t="e">
        <f t="shared" ca="1" si="55"/>
        <v>#N/A</v>
      </c>
      <c r="AE107" s="324">
        <f t="shared" ca="1" si="34"/>
        <v>53.841395945364965</v>
      </c>
      <c r="AG107" s="306">
        <f t="shared" ca="1" si="56"/>
        <v>94.175340818291943</v>
      </c>
      <c r="AH107" s="304">
        <f t="shared" ca="1" si="57"/>
        <v>103.93835217037905</v>
      </c>
    </row>
    <row r="108" spans="1:34" x14ac:dyDescent="0.2">
      <c r="A108" s="347">
        <f t="shared" ca="1" si="35"/>
        <v>0.01</v>
      </c>
      <c r="B108" s="304">
        <f t="shared" ca="1" si="36"/>
        <v>1.0400000000000007</v>
      </c>
      <c r="D108" s="306">
        <f t="shared" ca="1" si="37"/>
        <v>10.144832956441254</v>
      </c>
      <c r="E108" s="307">
        <f t="shared" ca="1" si="38"/>
        <v>93.369465123252823</v>
      </c>
      <c r="F108" s="304">
        <f t="shared" ca="1" si="39"/>
        <v>93.918979195455606</v>
      </c>
      <c r="G108" s="306">
        <f t="shared" ca="1" si="40"/>
        <v>10.310476562894126</v>
      </c>
      <c r="H108" s="307">
        <f t="shared" ca="1" si="41"/>
        <v>104.76606695996877</v>
      </c>
      <c r="I108" s="304">
        <f t="shared" ca="1" si="42"/>
        <v>105.27219344734226</v>
      </c>
      <c r="J108" s="306">
        <f t="shared" ca="1" si="43"/>
        <v>5.1759268314128466</v>
      </c>
      <c r="K108" s="307">
        <f t="shared" ca="1" si="44"/>
        <v>54.884388141708492</v>
      </c>
      <c r="L108" s="304">
        <f t="shared" ca="1" si="29"/>
        <v>55.12790836095499</v>
      </c>
      <c r="M108" s="306">
        <f t="shared" ca="1" si="45"/>
        <v>1.4726979439387844</v>
      </c>
      <c r="N108" s="304">
        <f t="shared" ca="1" si="46"/>
        <v>84.37937668528626</v>
      </c>
      <c r="P108" s="310">
        <f t="shared" ca="1" si="47"/>
        <v>4</v>
      </c>
      <c r="Q108" s="304">
        <f t="shared" ca="1" si="48"/>
        <v>733.39999999999986</v>
      </c>
      <c r="R108" s="306">
        <f t="shared" ca="1" si="49"/>
        <v>0.36805928963208739</v>
      </c>
      <c r="S108" s="307">
        <f t="shared" ca="1" si="50"/>
        <v>6.7752457255012466</v>
      </c>
      <c r="T108" s="304">
        <f t="shared" ca="1" si="30"/>
        <v>66.465160567167231</v>
      </c>
      <c r="U108" s="311">
        <f t="shared" ca="1" si="31"/>
        <v>0</v>
      </c>
      <c r="V108" s="306">
        <f t="shared" ca="1" si="32"/>
        <v>1.2182950622728748</v>
      </c>
      <c r="W108" s="304">
        <f t="shared" ca="1" si="33"/>
        <v>31.519508887194252</v>
      </c>
      <c r="Y108" s="314" t="str">
        <f t="shared" ca="1" si="51"/>
        <v/>
      </c>
      <c r="Z108" s="315" t="str">
        <f t="shared" ca="1" si="52"/>
        <v/>
      </c>
      <c r="AA108" s="316" t="str">
        <f t="shared" ca="1" si="53"/>
        <v/>
      </c>
      <c r="AC108" s="310" t="e">
        <f t="shared" ca="1" si="54"/>
        <v>#N/A</v>
      </c>
      <c r="AD108" s="323" t="e">
        <f t="shared" ca="1" si="55"/>
        <v>#N/A</v>
      </c>
      <c r="AE108" s="324">
        <f t="shared" ca="1" si="34"/>
        <v>54.884388141708492</v>
      </c>
      <c r="AG108" s="306">
        <f t="shared" ca="1" si="56"/>
        <v>93.914073608462516</v>
      </c>
      <c r="AH108" s="304">
        <f t="shared" ca="1" si="57"/>
        <v>103.67699676801331</v>
      </c>
    </row>
    <row r="109" spans="1:34" x14ac:dyDescent="0.2">
      <c r="A109" s="347">
        <f t="shared" ca="1" si="35"/>
        <v>0.01</v>
      </c>
      <c r="B109" s="304">
        <f t="shared" ca="1" si="36"/>
        <v>1.0500000000000007</v>
      </c>
      <c r="D109" s="306">
        <f t="shared" ca="1" si="37"/>
        <v>10.128555681501549</v>
      </c>
      <c r="E109" s="307">
        <f t="shared" ca="1" si="38"/>
        <v>93.107545688897616</v>
      </c>
      <c r="F109" s="304">
        <f t="shared" ca="1" si="39"/>
        <v>93.656834798125828</v>
      </c>
      <c r="G109" s="306">
        <f t="shared" ca="1" si="40"/>
        <v>10.411762119709142</v>
      </c>
      <c r="H109" s="307">
        <f t="shared" ca="1" si="41"/>
        <v>105.69714241685774</v>
      </c>
      <c r="I109" s="304">
        <f t="shared" ca="1" si="42"/>
        <v>106.20871294544021</v>
      </c>
      <c r="J109" s="306">
        <f t="shared" ca="1" si="43"/>
        <v>5.2795380248258628</v>
      </c>
      <c r="K109" s="307">
        <f t="shared" ca="1" si="44"/>
        <v>55.936704188592621</v>
      </c>
      <c r="L109" s="304">
        <f t="shared" ca="1" si="29"/>
        <v>56.185304103810793</v>
      </c>
      <c r="M109" s="306">
        <f t="shared" ca="1" si="45"/>
        <v>1.4726074803256937</v>
      </c>
      <c r="N109" s="304">
        <f t="shared" ca="1" si="46"/>
        <v>84.374193502056656</v>
      </c>
      <c r="P109" s="310">
        <f t="shared" ca="1" si="47"/>
        <v>4</v>
      </c>
      <c r="Q109" s="304">
        <f t="shared" ca="1" si="48"/>
        <v>731.79999999999984</v>
      </c>
      <c r="R109" s="306">
        <f t="shared" ca="1" si="49"/>
        <v>0.36725632417884041</v>
      </c>
      <c r="S109" s="307">
        <f t="shared" ca="1" si="50"/>
        <v>6.7715731622594584</v>
      </c>
      <c r="T109" s="304">
        <f t="shared" ca="1" si="30"/>
        <v>66.429132721765285</v>
      </c>
      <c r="U109" s="311">
        <f t="shared" ca="1" si="31"/>
        <v>0</v>
      </c>
      <c r="V109" s="306">
        <f t="shared" ca="1" si="32"/>
        <v>1.2181668648897646</v>
      </c>
      <c r="W109" s="304">
        <f t="shared" ca="1" si="33"/>
        <v>32.079433346160343</v>
      </c>
      <c r="Y109" s="314" t="str">
        <f t="shared" ca="1" si="51"/>
        <v/>
      </c>
      <c r="Z109" s="315" t="str">
        <f t="shared" ca="1" si="52"/>
        <v/>
      </c>
      <c r="AA109" s="316" t="str">
        <f t="shared" ca="1" si="53"/>
        <v/>
      </c>
      <c r="AC109" s="310" t="e">
        <f t="shared" ca="1" si="54"/>
        <v>#N/A</v>
      </c>
      <c r="AD109" s="323" t="e">
        <f t="shared" ca="1" si="55"/>
        <v>#N/A</v>
      </c>
      <c r="AE109" s="324">
        <f t="shared" ca="1" si="34"/>
        <v>55.936704188592621</v>
      </c>
      <c r="AG109" s="306">
        <f t="shared" ca="1" si="56"/>
        <v>93.651906350968048</v>
      </c>
      <c r="AH109" s="304">
        <f t="shared" ca="1" si="57"/>
        <v>103.41474194146406</v>
      </c>
    </row>
    <row r="110" spans="1:34" x14ac:dyDescent="0.2">
      <c r="A110" s="347">
        <f t="shared" ca="1" si="35"/>
        <v>0.01</v>
      </c>
      <c r="B110" s="304">
        <f t="shared" ca="1" si="36"/>
        <v>1.0600000000000007</v>
      </c>
      <c r="D110" s="306">
        <f t="shared" ca="1" si="37"/>
        <v>10.112069289693393</v>
      </c>
      <c r="E110" s="307">
        <f t="shared" ca="1" si="38"/>
        <v>92.844749076394876</v>
      </c>
      <c r="F110" s="304">
        <f t="shared" ca="1" si="39"/>
        <v>93.393797312125002</v>
      </c>
      <c r="G110" s="306">
        <f t="shared" ca="1" si="40"/>
        <v>10.512882812606076</v>
      </c>
      <c r="H110" s="307">
        <f t="shared" ca="1" si="41"/>
        <v>106.62558990762169</v>
      </c>
      <c r="I110" s="304">
        <f t="shared" ca="1" si="42"/>
        <v>107.14260183596394</v>
      </c>
      <c r="J110" s="306">
        <f t="shared" ca="1" si="43"/>
        <v>5.3841612494874385</v>
      </c>
      <c r="K110" s="307">
        <f t="shared" ca="1" si="44"/>
        <v>56.998317850215017</v>
      </c>
      <c r="L110" s="304">
        <f t="shared" ca="1" si="29"/>
        <v>57.25205175462817</v>
      </c>
      <c r="M110" s="306">
        <f t="shared" ca="1" si="45"/>
        <v>1.4725177227920494</v>
      </c>
      <c r="N110" s="304">
        <f t="shared" ca="1" si="46"/>
        <v>84.369050774199337</v>
      </c>
      <c r="P110" s="310">
        <f t="shared" ca="1" si="47"/>
        <v>4</v>
      </c>
      <c r="Q110" s="304">
        <f t="shared" ca="1" si="48"/>
        <v>730.19999999999982</v>
      </c>
      <c r="R110" s="306">
        <f t="shared" ca="1" si="49"/>
        <v>0.36645335872559343</v>
      </c>
      <c r="S110" s="307">
        <f t="shared" ca="1" si="50"/>
        <v>6.7679086286722026</v>
      </c>
      <c r="T110" s="304">
        <f t="shared" ca="1" si="30"/>
        <v>66.393183647274313</v>
      </c>
      <c r="U110" s="311">
        <f t="shared" ca="1" si="31"/>
        <v>0</v>
      </c>
      <c r="V110" s="306">
        <f t="shared" ca="1" si="32"/>
        <v>1.2180375484646302</v>
      </c>
      <c r="W110" s="304">
        <f t="shared" ca="1" si="33"/>
        <v>32.642594313652573</v>
      </c>
      <c r="Y110" s="314" t="str">
        <f t="shared" ca="1" si="51"/>
        <v/>
      </c>
      <c r="Z110" s="315" t="str">
        <f t="shared" ca="1" si="52"/>
        <v/>
      </c>
      <c r="AA110" s="316" t="str">
        <f t="shared" ca="1" si="53"/>
        <v/>
      </c>
      <c r="AC110" s="310" t="e">
        <f t="shared" ca="1" si="54"/>
        <v>#N/A</v>
      </c>
      <c r="AD110" s="323" t="e">
        <f t="shared" ca="1" si="55"/>
        <v>#N/A</v>
      </c>
      <c r="AE110" s="324">
        <f t="shared" ca="1" si="34"/>
        <v>56.998317850215017</v>
      </c>
      <c r="AG110" s="306">
        <f t="shared" ca="1" si="56"/>
        <v>93.388845893111537</v>
      </c>
      <c r="AH110" s="304">
        <f t="shared" ca="1" si="57"/>
        <v>103.15159452600409</v>
      </c>
    </row>
    <row r="111" spans="1:34" x14ac:dyDescent="0.2">
      <c r="A111" s="347">
        <f t="shared" ca="1" si="35"/>
        <v>0.01</v>
      </c>
      <c r="B111" s="304">
        <f t="shared" ca="1" si="36"/>
        <v>1.0700000000000007</v>
      </c>
      <c r="D111" s="306">
        <f t="shared" ca="1" si="37"/>
        <v>10.095376228944493</v>
      </c>
      <c r="E111" s="307">
        <f t="shared" ca="1" si="38"/>
        <v>92.581081964676599</v>
      </c>
      <c r="F111" s="304">
        <f t="shared" ca="1" si="39"/>
        <v>93.129873611822887</v>
      </c>
      <c r="G111" s="306">
        <f t="shared" ca="1" si="40"/>
        <v>10.613836574895521</v>
      </c>
      <c r="H111" s="307">
        <f t="shared" ca="1" si="41"/>
        <v>107.55140072726846</v>
      </c>
      <c r="I111" s="304">
        <f t="shared" ca="1" si="42"/>
        <v>108.07385125568568</v>
      </c>
      <c r="J111" s="306">
        <f t="shared" ca="1" si="43"/>
        <v>5.4897948464249469</v>
      </c>
      <c r="K111" s="307">
        <f t="shared" ca="1" si="44"/>
        <v>58.069202803389466</v>
      </c>
      <c r="L111" s="304">
        <f t="shared" ca="1" si="29"/>
        <v>58.328124962808538</v>
      </c>
      <c r="M111" s="306">
        <f t="shared" ca="1" si="45"/>
        <v>1.472428657598752</v>
      </c>
      <c r="N111" s="304">
        <f t="shared" ca="1" si="46"/>
        <v>84.363947714521885</v>
      </c>
      <c r="P111" s="310">
        <f t="shared" ca="1" si="47"/>
        <v>4</v>
      </c>
      <c r="Q111" s="304">
        <f t="shared" ca="1" si="48"/>
        <v>728.59999999999991</v>
      </c>
      <c r="R111" s="306">
        <f t="shared" ca="1" si="49"/>
        <v>0.3656503932723465</v>
      </c>
      <c r="S111" s="307">
        <f t="shared" ca="1" si="50"/>
        <v>6.7642521247394791</v>
      </c>
      <c r="T111" s="304">
        <f t="shared" ca="1" si="30"/>
        <v>66.357313343694287</v>
      </c>
      <c r="U111" s="311">
        <f t="shared" ca="1" si="31"/>
        <v>0</v>
      </c>
      <c r="V111" s="306">
        <f t="shared" ca="1" si="32"/>
        <v>1.2179071165609294</v>
      </c>
      <c r="W111" s="304">
        <f t="shared" ca="1" si="33"/>
        <v>33.208941890274993</v>
      </c>
      <c r="Y111" s="314" t="str">
        <f t="shared" ca="1" si="51"/>
        <v/>
      </c>
      <c r="Z111" s="315" t="str">
        <f t="shared" ca="1" si="52"/>
        <v/>
      </c>
      <c r="AA111" s="316" t="str">
        <f t="shared" ca="1" si="53"/>
        <v/>
      </c>
      <c r="AC111" s="310" t="e">
        <f t="shared" ca="1" si="54"/>
        <v>#N/A</v>
      </c>
      <c r="AD111" s="323" t="e">
        <f t="shared" ca="1" si="55"/>
        <v>#N/A</v>
      </c>
      <c r="AE111" s="324">
        <f t="shared" ca="1" si="34"/>
        <v>58.069202803389466</v>
      </c>
      <c r="AG111" s="306">
        <f t="shared" ca="1" si="56"/>
        <v>93.124899106794331</v>
      </c>
      <c r="AH111" s="304">
        <f t="shared" ca="1" si="57"/>
        <v>102.88756138183594</v>
      </c>
    </row>
    <row r="112" spans="1:34" x14ac:dyDescent="0.2">
      <c r="A112" s="347">
        <f t="shared" ca="1" si="35"/>
        <v>0.01</v>
      </c>
      <c r="B112" s="304">
        <f t="shared" ca="1" si="36"/>
        <v>1.0800000000000007</v>
      </c>
      <c r="D112" s="306">
        <f t="shared" ca="1" si="37"/>
        <v>10.078478900215346</v>
      </c>
      <c r="E112" s="307">
        <f t="shared" ca="1" si="38"/>
        <v>92.316551060925107</v>
      </c>
      <c r="F112" s="304">
        <f t="shared" ca="1" si="39"/>
        <v>92.865070595603811</v>
      </c>
      <c r="G112" s="306">
        <f t="shared" ca="1" si="40"/>
        <v>10.714621363897674</v>
      </c>
      <c r="H112" s="307">
        <f t="shared" ca="1" si="41"/>
        <v>108.47456623787771</v>
      </c>
      <c r="I112" s="304">
        <f t="shared" ca="1" si="42"/>
        <v>109.00245241033529</v>
      </c>
      <c r="J112" s="306">
        <f t="shared" ca="1" si="43"/>
        <v>5.5964371361189125</v>
      </c>
      <c r="K112" s="307">
        <f t="shared" ca="1" si="44"/>
        <v>59.149332638215199</v>
      </c>
      <c r="L112" s="304">
        <f t="shared" ca="1" si="29"/>
        <v>59.413497289460757</v>
      </c>
      <c r="M112" s="306">
        <f t="shared" ca="1" si="45"/>
        <v>1.4723402713896794</v>
      </c>
      <c r="N112" s="304">
        <f t="shared" ca="1" si="46"/>
        <v>84.35888355777486</v>
      </c>
      <c r="P112" s="310">
        <f t="shared" ca="1" si="47"/>
        <v>4</v>
      </c>
      <c r="Q112" s="304">
        <f t="shared" ca="1" si="48"/>
        <v>726.99999999999989</v>
      </c>
      <c r="R112" s="306">
        <f t="shared" ca="1" si="49"/>
        <v>0.36484742781909951</v>
      </c>
      <c r="S112" s="307">
        <f t="shared" ca="1" si="50"/>
        <v>6.7606036504612881</v>
      </c>
      <c r="T112" s="304">
        <f t="shared" ca="1" si="30"/>
        <v>66.321521811025235</v>
      </c>
      <c r="U112" s="311">
        <f t="shared" ca="1" si="31"/>
        <v>0</v>
      </c>
      <c r="V112" s="306">
        <f t="shared" ca="1" si="32"/>
        <v>1.2177755727543325</v>
      </c>
      <c r="W112" s="304">
        <f t="shared" ca="1" si="33"/>
        <v>33.778426159067713</v>
      </c>
      <c r="Y112" s="314" t="str">
        <f t="shared" ca="1" si="51"/>
        <v/>
      </c>
      <c r="Z112" s="315" t="str">
        <f t="shared" ca="1" si="52"/>
        <v/>
      </c>
      <c r="AA112" s="316" t="str">
        <f t="shared" ca="1" si="53"/>
        <v/>
      </c>
      <c r="AC112" s="310" t="e">
        <f t="shared" ca="1" si="54"/>
        <v>#N/A</v>
      </c>
      <c r="AD112" s="323" t="e">
        <f t="shared" ca="1" si="55"/>
        <v>#N/A</v>
      </c>
      <c r="AE112" s="324">
        <f t="shared" ca="1" si="34"/>
        <v>59.149332638215199</v>
      </c>
      <c r="AG112" s="306">
        <f t="shared" ca="1" si="56"/>
        <v>92.860072887939609</v>
      </c>
      <c r="AH112" s="304">
        <f t="shared" ca="1" si="57"/>
        <v>102.62264939350294</v>
      </c>
    </row>
    <row r="113" spans="1:34" x14ac:dyDescent="0.2">
      <c r="A113" s="347">
        <f t="shared" ca="1" si="35"/>
        <v>0.01</v>
      </c>
      <c r="B113" s="304">
        <f t="shared" ca="1" si="36"/>
        <v>1.0900000000000007</v>
      </c>
      <c r="D113" s="306">
        <f t="shared" ca="1" si="37"/>
        <v>10.061379659334849</v>
      </c>
      <c r="E113" s="307">
        <f t="shared" ca="1" si="38"/>
        <v>92.051163099834554</v>
      </c>
      <c r="F113" s="304">
        <f t="shared" ca="1" si="39"/>
        <v>92.599395185290604</v>
      </c>
      <c r="G113" s="306">
        <f t="shared" ca="1" si="40"/>
        <v>10.815235160491023</v>
      </c>
      <c r="H113" s="307">
        <f t="shared" ca="1" si="41"/>
        <v>109.39507786887606</v>
      </c>
      <c r="I113" s="304">
        <f t="shared" ca="1" si="42"/>
        <v>109.92839657483492</v>
      </c>
      <c r="J113" s="306">
        <f t="shared" ca="1" si="43"/>
        <v>5.7040864187408555</v>
      </c>
      <c r="K113" s="307">
        <f t="shared" ca="1" si="44"/>
        <v>60.238680858748971</v>
      </c>
      <c r="L113" s="304">
        <f t="shared" ca="1" si="29"/>
        <v>60.508142208091911</v>
      </c>
      <c r="M113" s="306">
        <f t="shared" ca="1" si="45"/>
        <v>1.4722525511774134</v>
      </c>
      <c r="N113" s="304">
        <f t="shared" ca="1" si="46"/>
        <v>84.353857559834026</v>
      </c>
      <c r="P113" s="310">
        <f t="shared" ca="1" si="47"/>
        <v>4</v>
      </c>
      <c r="Q113" s="304">
        <f t="shared" ca="1" si="48"/>
        <v>725.39999999999986</v>
      </c>
      <c r="R113" s="306">
        <f t="shared" ca="1" si="49"/>
        <v>0.36404446236585247</v>
      </c>
      <c r="S113" s="307">
        <f t="shared" ca="1" si="50"/>
        <v>6.7569632058376294</v>
      </c>
      <c r="T113" s="304">
        <f t="shared" ca="1" si="30"/>
        <v>66.285809049267144</v>
      </c>
      <c r="U113" s="311">
        <f t="shared" ca="1" si="31"/>
        <v>0</v>
      </c>
      <c r="V113" s="306">
        <f t="shared" ca="1" si="32"/>
        <v>1.2176429206326063</v>
      </c>
      <c r="W113" s="304">
        <f t="shared" ca="1" si="33"/>
        <v>34.350997189370787</v>
      </c>
      <c r="Y113" s="314" t="str">
        <f t="shared" ca="1" si="51"/>
        <v/>
      </c>
      <c r="Z113" s="315" t="str">
        <f t="shared" ca="1" si="52"/>
        <v/>
      </c>
      <c r="AA113" s="316" t="str">
        <f t="shared" ca="1" si="53"/>
        <v/>
      </c>
      <c r="AC113" s="310" t="e">
        <f t="shared" ca="1" si="54"/>
        <v>#N/A</v>
      </c>
      <c r="AD113" s="323" t="e">
        <f t="shared" ca="1" si="55"/>
        <v>#N/A</v>
      </c>
      <c r="AE113" s="324">
        <f t="shared" ca="1" si="34"/>
        <v>60.238680858748971</v>
      </c>
      <c r="AG113" s="306">
        <f t="shared" ca="1" si="56"/>
        <v>92.594374155914792</v>
      </c>
      <c r="AH113" s="304">
        <f t="shared" ca="1" si="57"/>
        <v>102.35686546929998</v>
      </c>
    </row>
    <row r="114" spans="1:34" x14ac:dyDescent="0.2">
      <c r="A114" s="347">
        <f t="shared" ca="1" si="35"/>
        <v>0.01</v>
      </c>
      <c r="B114" s="304">
        <f t="shared" ca="1" si="36"/>
        <v>1.1000000000000008</v>
      </c>
      <c r="D114" s="306">
        <f t="shared" ca="1" si="37"/>
        <v>10.044080818747249</v>
      </c>
      <c r="E114" s="307">
        <f t="shared" ca="1" si="38"/>
        <v>91.784924842878169</v>
      </c>
      <c r="F114" s="304">
        <f t="shared" ca="1" si="39"/>
        <v>92.332854325566686</v>
      </c>
      <c r="G114" s="306">
        <f t="shared" ca="1" si="40"/>
        <v>10.915675968678496</v>
      </c>
      <c r="H114" s="307">
        <f t="shared" ca="1" si="41"/>
        <v>110.31292711730484</v>
      </c>
      <c r="I114" s="304">
        <f t="shared" ca="1" si="42"/>
        <v>110.85167509352753</v>
      </c>
      <c r="J114" s="306">
        <f t="shared" ca="1" si="43"/>
        <v>5.8127409743867036</v>
      </c>
      <c r="K114" s="307">
        <f t="shared" ca="1" si="44"/>
        <v>61.337220883679876</v>
      </c>
      <c r="L114" s="304">
        <f t="shared" ca="1" si="29"/>
        <v>61.612033105300533</v>
      </c>
      <c r="M114" s="306">
        <f t="shared" ca="1" si="45"/>
        <v>1.4721654843296252</v>
      </c>
      <c r="N114" s="304">
        <f t="shared" ca="1" si="46"/>
        <v>84.34886899692026</v>
      </c>
      <c r="P114" s="310">
        <f t="shared" ca="1" si="47"/>
        <v>4</v>
      </c>
      <c r="Q114" s="304">
        <f t="shared" ca="1" si="48"/>
        <v>723.79999999999984</v>
      </c>
      <c r="R114" s="306">
        <f t="shared" ca="1" si="49"/>
        <v>0.36324149691260549</v>
      </c>
      <c r="S114" s="307">
        <f t="shared" ca="1" si="50"/>
        <v>6.7533307908685032</v>
      </c>
      <c r="T114" s="304">
        <f t="shared" ca="1" si="30"/>
        <v>66.250175058420027</v>
      </c>
      <c r="U114" s="311">
        <f t="shared" ca="1" si="31"/>
        <v>0</v>
      </c>
      <c r="V114" s="306">
        <f t="shared" ca="1" si="32"/>
        <v>1.2175091637954931</v>
      </c>
      <c r="W114" s="304">
        <f t="shared" ca="1" si="33"/>
        <v>34.926605040675888</v>
      </c>
      <c r="Y114" s="314" t="str">
        <f t="shared" ca="1" si="51"/>
        <v/>
      </c>
      <c r="Z114" s="315" t="str">
        <f t="shared" ca="1" si="52"/>
        <v/>
      </c>
      <c r="AA114" s="316" t="str">
        <f t="shared" ca="1" si="53"/>
        <v/>
      </c>
      <c r="AC114" s="310" t="e">
        <f t="shared" ca="1" si="54"/>
        <v>#N/A</v>
      </c>
      <c r="AD114" s="323" t="e">
        <f t="shared" ca="1" si="55"/>
        <v>#N/A</v>
      </c>
      <c r="AE114" s="324">
        <f t="shared" ca="1" si="34"/>
        <v>61.337220883679876</v>
      </c>
      <c r="AG114" s="306">
        <f t="shared" ca="1" si="56"/>
        <v>92.327809852952583</v>
      </c>
      <c r="AH114" s="304">
        <f t="shared" ca="1" si="57"/>
        <v>102.09021654068323</v>
      </c>
    </row>
    <row r="115" spans="1:34" x14ac:dyDescent="0.2">
      <c r="A115" s="347">
        <f t="shared" ca="1" si="35"/>
        <v>0.01</v>
      </c>
      <c r="B115" s="304">
        <f t="shared" ca="1" si="36"/>
        <v>1.1100000000000008</v>
      </c>
      <c r="D115" s="306">
        <f t="shared" ca="1" si="37"/>
        <v>10.026584649175533</v>
      </c>
      <c r="E115" s="307">
        <f t="shared" ca="1" si="38"/>
        <v>91.517843077581944</v>
      </c>
      <c r="F115" s="304">
        <f t="shared" ca="1" si="39"/>
        <v>92.06545498339753</v>
      </c>
      <c r="G115" s="306">
        <f t="shared" ca="1" si="40"/>
        <v>11.015941815170251</v>
      </c>
      <c r="H115" s="307">
        <f t="shared" ca="1" si="41"/>
        <v>111.22810554808066</v>
      </c>
      <c r="I115" s="304">
        <f t="shared" ca="1" si="42"/>
        <v>111.77227938039999</v>
      </c>
      <c r="J115" s="306">
        <f t="shared" ca="1" si="43"/>
        <v>5.9223990633059476</v>
      </c>
      <c r="K115" s="307">
        <f t="shared" ca="1" si="44"/>
        <v>62.444926047006803</v>
      </c>
      <c r="L115" s="304">
        <f t="shared" ca="1" si="29"/>
        <v>62.725143281472029</v>
      </c>
      <c r="M115" s="306">
        <f t="shared" ca="1" si="45"/>
        <v>1.4720790585560883</v>
      </c>
      <c r="N115" s="304">
        <f t="shared" ca="1" si="46"/>
        <v>84.343917164855441</v>
      </c>
      <c r="P115" s="310">
        <f t="shared" ca="1" si="47"/>
        <v>4</v>
      </c>
      <c r="Q115" s="304">
        <f t="shared" ca="1" si="48"/>
        <v>722.19999999999982</v>
      </c>
      <c r="R115" s="306">
        <f t="shared" ca="1" si="49"/>
        <v>0.3624385314593585</v>
      </c>
      <c r="S115" s="307">
        <f t="shared" ca="1" si="50"/>
        <v>6.7497064055539093</v>
      </c>
      <c r="T115" s="304">
        <f t="shared" ca="1" si="30"/>
        <v>66.214619838483856</v>
      </c>
      <c r="U115" s="311">
        <f t="shared" ca="1" si="31"/>
        <v>0</v>
      </c>
      <c r="V115" s="306">
        <f t="shared" ca="1" si="32"/>
        <v>1.2173743058545903</v>
      </c>
      <c r="W115" s="304">
        <f t="shared" ca="1" si="33"/>
        <v>35.505199766465907</v>
      </c>
      <c r="Y115" s="314" t="str">
        <f t="shared" ca="1" si="51"/>
        <v/>
      </c>
      <c r="Z115" s="315" t="str">
        <f t="shared" ca="1" si="52"/>
        <v/>
      </c>
      <c r="AA115" s="316" t="str">
        <f t="shared" ca="1" si="53"/>
        <v/>
      </c>
      <c r="AC115" s="310" t="e">
        <f t="shared" ca="1" si="54"/>
        <v>#N/A</v>
      </c>
      <c r="AD115" s="323" t="e">
        <f t="shared" ca="1" si="55"/>
        <v>#N/A</v>
      </c>
      <c r="AE115" s="324">
        <f t="shared" ca="1" si="34"/>
        <v>62.444926047006803</v>
      </c>
      <c r="AG115" s="306">
        <f t="shared" ca="1" si="56"/>
        <v>92.060386943571061</v>
      </c>
      <c r="AH115" s="304">
        <f t="shared" ca="1" si="57"/>
        <v>101.82270956167957</v>
      </c>
    </row>
    <row r="116" spans="1:34" x14ac:dyDescent="0.2">
      <c r="A116" s="347">
        <f t="shared" ca="1" si="35"/>
        <v>0.01</v>
      </c>
      <c r="B116" s="304">
        <f t="shared" ca="1" si="36"/>
        <v>1.1200000000000008</v>
      </c>
      <c r="D116" s="306">
        <f t="shared" ca="1" si="37"/>
        <v>10.008893381205439</v>
      </c>
      <c r="E116" s="307">
        <f t="shared" ca="1" si="38"/>
        <v>91.249924616803881</v>
      </c>
      <c r="F116" s="304">
        <f t="shared" ca="1" si="39"/>
        <v>91.797204147450643</v>
      </c>
      <c r="G116" s="306">
        <f t="shared" ca="1" si="40"/>
        <v>11.116030748982306</v>
      </c>
      <c r="H116" s="307">
        <f t="shared" ca="1" si="41"/>
        <v>112.1406047942487</v>
      </c>
      <c r="I116" s="304">
        <f t="shared" ca="1" si="42"/>
        <v>112.69020091929997</v>
      </c>
      <c r="J116" s="306">
        <f t="shared" ca="1" si="43"/>
        <v>6.03305892612671</v>
      </c>
      <c r="K116" s="307">
        <f t="shared" ca="1" si="44"/>
        <v>63.561769598718449</v>
      </c>
      <c r="L116" s="304">
        <f t="shared" ca="1" si="29"/>
        <v>63.847445951476288</v>
      </c>
      <c r="M116" s="306">
        <f t="shared" ca="1" si="45"/>
        <v>1.4719932618962799</v>
      </c>
      <c r="N116" s="304">
        <f t="shared" ca="1" si="46"/>
        <v>84.339001378352094</v>
      </c>
      <c r="P116" s="310">
        <f t="shared" ca="1" si="47"/>
        <v>4</v>
      </c>
      <c r="Q116" s="304">
        <f t="shared" ca="1" si="48"/>
        <v>720.59999999999991</v>
      </c>
      <c r="R116" s="306">
        <f t="shared" ca="1" si="49"/>
        <v>0.36163556600611158</v>
      </c>
      <c r="S116" s="307">
        <f t="shared" ca="1" si="50"/>
        <v>6.7460900498938479</v>
      </c>
      <c r="T116" s="304">
        <f t="shared" ca="1" si="30"/>
        <v>66.179143389458645</v>
      </c>
      <c r="U116" s="311">
        <f t="shared" ca="1" si="31"/>
        <v>0</v>
      </c>
      <c r="V116" s="306">
        <f t="shared" ca="1" si="32"/>
        <v>1.2172383504332307</v>
      </c>
      <c r="W116" s="304">
        <f t="shared" ca="1" si="33"/>
        <v>36.086731418041282</v>
      </c>
      <c r="Y116" s="314" t="str">
        <f t="shared" ca="1" si="51"/>
        <v/>
      </c>
      <c r="Z116" s="315" t="str">
        <f t="shared" ca="1" si="52"/>
        <v/>
      </c>
      <c r="AA116" s="316" t="str">
        <f t="shared" ca="1" si="53"/>
        <v/>
      </c>
      <c r="AC116" s="310" t="e">
        <f t="shared" ca="1" si="54"/>
        <v>#N/A</v>
      </c>
      <c r="AD116" s="323" t="e">
        <f t="shared" ca="1" si="55"/>
        <v>#N/A</v>
      </c>
      <c r="AE116" s="324">
        <f t="shared" ca="1" si="34"/>
        <v>63.561769598718449</v>
      </c>
      <c r="AG116" s="306">
        <f t="shared" ca="1" si="56"/>
        <v>91.792112413992655</v>
      </c>
      <c r="AH116" s="304">
        <f t="shared" ca="1" si="57"/>
        <v>101.55435150829541</v>
      </c>
    </row>
    <row r="117" spans="1:34" x14ac:dyDescent="0.2">
      <c r="A117" s="347">
        <f t="shared" ca="1" si="35"/>
        <v>0.01</v>
      </c>
      <c r="B117" s="304">
        <f t="shared" ca="1" si="36"/>
        <v>1.1300000000000008</v>
      </c>
      <c r="D117" s="306">
        <f t="shared" ca="1" si="37"/>
        <v>9.9910092067948106</v>
      </c>
      <c r="E117" s="307">
        <f t="shared" ca="1" si="38"/>
        <v>90.981176298019022</v>
      </c>
      <c r="F117" s="304">
        <f t="shared" ca="1" si="39"/>
        <v>91.528108827515254</v>
      </c>
      <c r="G117" s="306">
        <f t="shared" ca="1" si="40"/>
        <v>11.215940841050253</v>
      </c>
      <c r="H117" s="307">
        <f t="shared" ca="1" si="41"/>
        <v>113.05041655722889</v>
      </c>
      <c r="I117" s="304">
        <f t="shared" ca="1" si="42"/>
        <v>113.60543126414736</v>
      </c>
      <c r="J117" s="306">
        <f t="shared" ca="1" si="43"/>
        <v>6.1447187840768729</v>
      </c>
      <c r="K117" s="307">
        <f t="shared" ca="1" si="44"/>
        <v>64.68772470547583</v>
      </c>
      <c r="L117" s="304">
        <f t="shared" ca="1" si="29"/>
        <v>64.978914245367434</v>
      </c>
      <c r="M117" s="306">
        <f t="shared" ca="1" si="45"/>
        <v>1.4719080827075417</v>
      </c>
      <c r="N117" s="304">
        <f t="shared" ca="1" si="46"/>
        <v>84.33412097033505</v>
      </c>
      <c r="P117" s="310">
        <f t="shared" ca="1" si="47"/>
        <v>4</v>
      </c>
      <c r="Q117" s="304">
        <f t="shared" ca="1" si="48"/>
        <v>718.99999999999989</v>
      </c>
      <c r="R117" s="306">
        <f t="shared" ca="1" si="49"/>
        <v>0.36083260055286454</v>
      </c>
      <c r="S117" s="307">
        <f t="shared" ca="1" si="50"/>
        <v>6.7424817238883188</v>
      </c>
      <c r="T117" s="304">
        <f t="shared" ca="1" si="30"/>
        <v>66.143745711344408</v>
      </c>
      <c r="U117" s="311">
        <f t="shared" ca="1" si="31"/>
        <v>0</v>
      </c>
      <c r="V117" s="306">
        <f t="shared" ca="1" si="32"/>
        <v>1.2171013011663634</v>
      </c>
      <c r="W117" s="304">
        <f t="shared" ca="1" si="33"/>
        <v>36.671150048333317</v>
      </c>
      <c r="Y117" s="314" t="str">
        <f t="shared" ca="1" si="51"/>
        <v/>
      </c>
      <c r="Z117" s="315" t="str">
        <f t="shared" ca="1" si="52"/>
        <v/>
      </c>
      <c r="AA117" s="316" t="str">
        <f t="shared" ca="1" si="53"/>
        <v/>
      </c>
      <c r="AC117" s="310" t="e">
        <f t="shared" ca="1" si="54"/>
        <v>#N/A</v>
      </c>
      <c r="AD117" s="323" t="e">
        <f t="shared" ca="1" si="55"/>
        <v>#N/A</v>
      </c>
      <c r="AE117" s="324">
        <f t="shared" ca="1" si="34"/>
        <v>64.68772470547583</v>
      </c>
      <c r="AG117" s="306">
        <f t="shared" ca="1" si="56"/>
        <v>91.522993271562484</v>
      </c>
      <c r="AH117" s="304">
        <f t="shared" ca="1" si="57"/>
        <v>101.28514937792515</v>
      </c>
    </row>
    <row r="118" spans="1:34" x14ac:dyDescent="0.2">
      <c r="A118" s="347">
        <f t="shared" ca="1" si="35"/>
        <v>0.01</v>
      </c>
      <c r="B118" s="304">
        <f t="shared" ca="1" si="36"/>
        <v>1.1400000000000008</v>
      </c>
      <c r="D118" s="306">
        <f t="shared" ca="1" si="37"/>
        <v>9.9729342807121117</v>
      </c>
      <c r="E118" s="307">
        <f t="shared" ca="1" si="38"/>
        <v>90.711604982609543</v>
      </c>
      <c r="F118" s="304">
        <f t="shared" ca="1" si="39"/>
        <v>91.258176053920749</v>
      </c>
      <c r="G118" s="306">
        <f t="shared" ca="1" si="40"/>
        <v>11.315670183857375</v>
      </c>
      <c r="H118" s="307">
        <f t="shared" ca="1" si="41"/>
        <v>113.95753260705499</v>
      </c>
      <c r="I118" s="304">
        <f t="shared" ca="1" si="42"/>
        <v>114.51796203913969</v>
      </c>
      <c r="J118" s="306">
        <f t="shared" ca="1" si="43"/>
        <v>6.2573768392014113</v>
      </c>
      <c r="K118" s="307">
        <f t="shared" ca="1" si="44"/>
        <v>65.822764451297246</v>
      </c>
      <c r="L118" s="304">
        <f t="shared" ca="1" si="29"/>
        <v>66.119521209085704</v>
      </c>
      <c r="M118" s="306">
        <f t="shared" ca="1" si="45"/>
        <v>1.4718235096537695</v>
      </c>
      <c r="N118" s="304">
        <f t="shared" ca="1" si="46"/>
        <v>84.329275291293371</v>
      </c>
      <c r="P118" s="310">
        <f t="shared" ca="1" si="47"/>
        <v>4</v>
      </c>
      <c r="Q118" s="304">
        <f t="shared" ca="1" si="48"/>
        <v>717.39999999999986</v>
      </c>
      <c r="R118" s="306">
        <f t="shared" ca="1" si="49"/>
        <v>0.36002963509961755</v>
      </c>
      <c r="S118" s="307">
        <f t="shared" ca="1" si="50"/>
        <v>6.738881427537323</v>
      </c>
      <c r="T118" s="304">
        <f t="shared" ca="1" si="30"/>
        <v>66.108426804141146</v>
      </c>
      <c r="U118" s="311">
        <f t="shared" ca="1" si="31"/>
        <v>0</v>
      </c>
      <c r="V118" s="306">
        <f t="shared" ca="1" si="32"/>
        <v>1.2169631617004322</v>
      </c>
      <c r="W118" s="304">
        <f t="shared" ca="1" si="33"/>
        <v>37.258405715703297</v>
      </c>
      <c r="Y118" s="314" t="str">
        <f t="shared" ca="1" si="51"/>
        <v/>
      </c>
      <c r="Z118" s="315" t="str">
        <f t="shared" ca="1" si="52"/>
        <v/>
      </c>
      <c r="AA118" s="316" t="str">
        <f t="shared" ca="1" si="53"/>
        <v/>
      </c>
      <c r="AC118" s="310" t="e">
        <f t="shared" ca="1" si="54"/>
        <v>#N/A</v>
      </c>
      <c r="AD118" s="323" t="e">
        <f t="shared" ca="1" si="55"/>
        <v>#N/A</v>
      </c>
      <c r="AE118" s="324">
        <f t="shared" ca="1" si="34"/>
        <v>65.822764451297246</v>
      </c>
      <c r="AG118" s="306">
        <f t="shared" ca="1" si="56"/>
        <v>91.253036544165809</v>
      </c>
      <c r="AH118" s="304">
        <f t="shared" ca="1" si="57"/>
        <v>101.01511018875935</v>
      </c>
    </row>
    <row r="119" spans="1:34" x14ac:dyDescent="0.2">
      <c r="A119" s="347">
        <f t="shared" ca="1" si="35"/>
        <v>0.01</v>
      </c>
      <c r="B119" s="304">
        <f t="shared" ca="1" si="36"/>
        <v>1.1500000000000008</v>
      </c>
      <c r="D119" s="306">
        <f t="shared" ca="1" si="37"/>
        <v>9.9546707219079789</v>
      </c>
      <c r="E119" s="307">
        <f t="shared" ca="1" si="38"/>
        <v>90.441217555160151</v>
      </c>
      <c r="F119" s="304">
        <f t="shared" ca="1" si="39"/>
        <v>90.987412876954693</v>
      </c>
      <c r="G119" s="306">
        <f t="shared" ca="1" si="40"/>
        <v>11.415216891076454</v>
      </c>
      <c r="H119" s="307">
        <f t="shared" ca="1" si="41"/>
        <v>114.86194478260659</v>
      </c>
      <c r="I119" s="304">
        <f t="shared" ca="1" si="42"/>
        <v>115.42778493895169</v>
      </c>
      <c r="J119" s="306">
        <f t="shared" ca="1" si="43"/>
        <v>6.3710312745760804</v>
      </c>
      <c r="K119" s="307">
        <f t="shared" ca="1" si="44"/>
        <v>66.966861838245549</v>
      </c>
      <c r="L119" s="304">
        <f t="shared" ca="1" si="29"/>
        <v>67.269239805161277</v>
      </c>
      <c r="M119" s="306">
        <f t="shared" ca="1" si="45"/>
        <v>1.4717395316946016</v>
      </c>
      <c r="N119" s="304">
        <f t="shared" ca="1" si="46"/>
        <v>84.324463708660929</v>
      </c>
      <c r="P119" s="310">
        <f t="shared" ca="1" si="47"/>
        <v>4</v>
      </c>
      <c r="Q119" s="304">
        <f t="shared" ca="1" si="48"/>
        <v>715.79999999999984</v>
      </c>
      <c r="R119" s="306">
        <f t="shared" ca="1" si="49"/>
        <v>0.35922666964637057</v>
      </c>
      <c r="S119" s="307">
        <f t="shared" ca="1" si="50"/>
        <v>6.7352891608408596</v>
      </c>
      <c r="T119" s="304">
        <f t="shared" ca="1" si="30"/>
        <v>66.07318666784883</v>
      </c>
      <c r="U119" s="311">
        <f t="shared" ca="1" si="31"/>
        <v>0</v>
      </c>
      <c r="V119" s="306">
        <f t="shared" ca="1" si="32"/>
        <v>1.2168239356932555</v>
      </c>
      <c r="W119" s="304">
        <f t="shared" ca="1" si="33"/>
        <v>37.848448487727367</v>
      </c>
      <c r="Y119" s="314" t="str">
        <f t="shared" ca="1" si="51"/>
        <v/>
      </c>
      <c r="Z119" s="315" t="str">
        <f t="shared" ca="1" si="52"/>
        <v/>
      </c>
      <c r="AA119" s="316" t="str">
        <f t="shared" ca="1" si="53"/>
        <v/>
      </c>
      <c r="AC119" s="310" t="e">
        <f t="shared" ca="1" si="54"/>
        <v>#N/A</v>
      </c>
      <c r="AD119" s="323" t="e">
        <f t="shared" ca="1" si="55"/>
        <v>#N/A</v>
      </c>
      <c r="AE119" s="324">
        <f t="shared" ca="1" si="34"/>
        <v>66.966861838245549</v>
      </c>
      <c r="AG119" s="306">
        <f t="shared" ca="1" si="56"/>
        <v>90.982249279644989</v>
      </c>
      <c r="AH119" s="304">
        <f t="shared" ca="1" si="57"/>
        <v>100.74424097919277</v>
      </c>
    </row>
    <row r="120" spans="1:34" x14ac:dyDescent="0.2">
      <c r="A120" s="347">
        <f t="shared" ca="1" si="35"/>
        <v>0.01</v>
      </c>
      <c r="B120" s="304">
        <f t="shared" ca="1" si="36"/>
        <v>1.1600000000000008</v>
      </c>
      <c r="D120" s="306">
        <f t="shared" ca="1" si="37"/>
        <v>9.9362206148234584</v>
      </c>
      <c r="E120" s="307">
        <f t="shared" ca="1" si="38"/>
        <v>90.170020922758312</v>
      </c>
      <c r="F120" s="304">
        <f t="shared" ca="1" si="39"/>
        <v>90.715826366280297</v>
      </c>
      <c r="G120" s="306">
        <f t="shared" ca="1" si="40"/>
        <v>11.514579097224688</v>
      </c>
      <c r="H120" s="307">
        <f t="shared" ca="1" si="41"/>
        <v>115.76364499183417</v>
      </c>
      <c r="I120" s="304">
        <f t="shared" ca="1" si="42"/>
        <v>116.33489172892911</v>
      </c>
      <c r="J120" s="306">
        <f t="shared" ca="1" si="43"/>
        <v>6.485680254517586</v>
      </c>
      <c r="K120" s="307">
        <f t="shared" ca="1" si="44"/>
        <v>68.11998978711776</v>
      </c>
      <c r="L120" s="304">
        <f t="shared" ca="1" si="29"/>
        <v>68.428042913420128</v>
      </c>
      <c r="M120" s="306">
        <f t="shared" ca="1" si="45"/>
        <v>1.4716561380750839</v>
      </c>
      <c r="N120" s="304">
        <f t="shared" ca="1" si="46"/>
        <v>84.31968560622424</v>
      </c>
      <c r="P120" s="310">
        <f t="shared" ca="1" si="47"/>
        <v>4</v>
      </c>
      <c r="Q120" s="304">
        <f t="shared" ca="1" si="48"/>
        <v>714.19999999999982</v>
      </c>
      <c r="R120" s="306">
        <f t="shared" ca="1" si="49"/>
        <v>0.35842370419312358</v>
      </c>
      <c r="S120" s="307">
        <f t="shared" ca="1" si="50"/>
        <v>6.7317049237989286</v>
      </c>
      <c r="T120" s="304">
        <f t="shared" ca="1" si="30"/>
        <v>66.038025302467489</v>
      </c>
      <c r="U120" s="311">
        <f t="shared" ca="1" si="31"/>
        <v>0</v>
      </c>
      <c r="V120" s="306">
        <f t="shared" ca="1" si="32"/>
        <v>1.2166836268139032</v>
      </c>
      <c r="W120" s="304">
        <f t="shared" ca="1" si="33"/>
        <v>38.441228444966526</v>
      </c>
      <c r="Y120" s="314" t="str">
        <f t="shared" ca="1" si="51"/>
        <v/>
      </c>
      <c r="Z120" s="315" t="str">
        <f t="shared" ca="1" si="52"/>
        <v/>
      </c>
      <c r="AA120" s="316" t="str">
        <f t="shared" ca="1" si="53"/>
        <v/>
      </c>
      <c r="AC120" s="310" t="e">
        <f t="shared" ca="1" si="54"/>
        <v>#N/A</v>
      </c>
      <c r="AD120" s="323" t="e">
        <f t="shared" ca="1" si="55"/>
        <v>#N/A</v>
      </c>
      <c r="AE120" s="324">
        <f t="shared" ca="1" si="34"/>
        <v>68.11998978711776</v>
      </c>
      <c r="AG120" s="306">
        <f t="shared" ca="1" si="56"/>
        <v>90.710638545215716</v>
      </c>
      <c r="AH120" s="304">
        <f t="shared" ca="1" si="57"/>
        <v>100.47254880723209</v>
      </c>
    </row>
    <row r="121" spans="1:34" x14ac:dyDescent="0.2">
      <c r="A121" s="347">
        <f t="shared" ca="1" si="35"/>
        <v>0.01</v>
      </c>
      <c r="B121" s="304">
        <f t="shared" ca="1" si="36"/>
        <v>1.1700000000000008</v>
      </c>
      <c r="D121" s="306">
        <f t="shared" ca="1" si="37"/>
        <v>9.917586010637919</v>
      </c>
      <c r="E121" s="307">
        <f t="shared" ca="1" si="38"/>
        <v>89.898022014299244</v>
      </c>
      <c r="F121" s="304">
        <f t="shared" ca="1" si="39"/>
        <v>90.443423610353406</v>
      </c>
      <c r="G121" s="306">
        <f t="shared" ca="1" si="40"/>
        <v>11.613754957331068</v>
      </c>
      <c r="H121" s="307">
        <f t="shared" ca="1" si="41"/>
        <v>116.66262521197716</v>
      </c>
      <c r="I121" s="304">
        <f t="shared" ca="1" si="42"/>
        <v>117.23927424527662</v>
      </c>
      <c r="J121" s="306">
        <f t="shared" ca="1" si="43"/>
        <v>6.6013219247903647</v>
      </c>
      <c r="K121" s="307">
        <f t="shared" ca="1" si="44"/>
        <v>69.282121138136816</v>
      </c>
      <c r="L121" s="304">
        <f t="shared" ca="1" si="29"/>
        <v>69.595903331691744</v>
      </c>
      <c r="M121" s="306">
        <f t="shared" ca="1" si="45"/>
        <v>1.4715733183157804</v>
      </c>
      <c r="N121" s="304">
        <f t="shared" ca="1" si="46"/>
        <v>84.314940383555864</v>
      </c>
      <c r="P121" s="310">
        <f t="shared" ca="1" si="47"/>
        <v>4</v>
      </c>
      <c r="Q121" s="304">
        <f t="shared" ca="1" si="48"/>
        <v>712.59999999999991</v>
      </c>
      <c r="R121" s="306">
        <f t="shared" ca="1" si="49"/>
        <v>0.3576207387398766</v>
      </c>
      <c r="S121" s="307">
        <f t="shared" ca="1" si="50"/>
        <v>6.72812871641153</v>
      </c>
      <c r="T121" s="304">
        <f t="shared" ca="1" si="30"/>
        <v>66.002942707997107</v>
      </c>
      <c r="U121" s="311">
        <f t="shared" ca="1" si="31"/>
        <v>0</v>
      </c>
      <c r="V121" s="306">
        <f t="shared" ca="1" si="32"/>
        <v>1.2165422387425779</v>
      </c>
      <c r="W121" s="304">
        <f t="shared" ca="1" si="33"/>
        <v>39.03669568472143</v>
      </c>
      <c r="Y121" s="314" t="str">
        <f t="shared" ca="1" si="51"/>
        <v/>
      </c>
      <c r="Z121" s="315" t="str">
        <f t="shared" ca="1" si="52"/>
        <v/>
      </c>
      <c r="AA121" s="316" t="str">
        <f t="shared" ca="1" si="53"/>
        <v/>
      </c>
      <c r="AC121" s="310" t="e">
        <f t="shared" ca="1" si="54"/>
        <v>#N/A</v>
      </c>
      <c r="AD121" s="323" t="e">
        <f t="shared" ca="1" si="55"/>
        <v>#N/A</v>
      </c>
      <c r="AE121" s="324">
        <f t="shared" ca="1" si="34"/>
        <v>69.282121138136816</v>
      </c>
      <c r="AG121" s="306">
        <f t="shared" ca="1" si="56"/>
        <v>90.438211426883171</v>
      </c>
      <c r="AH121" s="304">
        <f t="shared" ca="1" si="57"/>
        <v>100.20004074990382</v>
      </c>
    </row>
    <row r="122" spans="1:34" x14ac:dyDescent="0.2">
      <c r="A122" s="347">
        <f t="shared" ca="1" si="35"/>
        <v>0.01</v>
      </c>
      <c r="B122" s="304">
        <f t="shared" ca="1" si="36"/>
        <v>1.1800000000000008</v>
      </c>
      <c r="D122" s="306">
        <f t="shared" ca="1" si="37"/>
        <v>9.8987689284604095</v>
      </c>
      <c r="E122" s="307">
        <f t="shared" ca="1" si="38"/>
        <v>89.62522777979531</v>
      </c>
      <c r="F122" s="304">
        <f t="shared" ca="1" si="39"/>
        <v>90.170211715839102</v>
      </c>
      <c r="G122" s="306">
        <f t="shared" ca="1" si="40"/>
        <v>11.712742646615672</v>
      </c>
      <c r="H122" s="307">
        <f t="shared" ca="1" si="41"/>
        <v>117.55887748977511</v>
      </c>
      <c r="I122" s="304">
        <f t="shared" ca="1" si="42"/>
        <v>118.14092439523996</v>
      </c>
      <c r="J122" s="306">
        <f t="shared" ca="1" si="43"/>
        <v>6.7179544128100988</v>
      </c>
      <c r="K122" s="307">
        <f t="shared" ca="1" si="44"/>
        <v>70.453228651645574</v>
      </c>
      <c r="L122" s="304">
        <f t="shared" ca="1" si="29"/>
        <v>70.772793776518725</v>
      </c>
      <c r="M122" s="306">
        <f t="shared" ca="1" si="45"/>
        <v>1.4714910622033135</v>
      </c>
      <c r="N122" s="304">
        <f t="shared" ca="1" si="46"/>
        <v>84.310227455472358</v>
      </c>
      <c r="P122" s="310">
        <f t="shared" ca="1" si="47"/>
        <v>4</v>
      </c>
      <c r="Q122" s="304">
        <f t="shared" ca="1" si="48"/>
        <v>710.99999999999989</v>
      </c>
      <c r="R122" s="306">
        <f t="shared" ca="1" si="49"/>
        <v>0.35681777328662961</v>
      </c>
      <c r="S122" s="307">
        <f t="shared" ca="1" si="50"/>
        <v>6.7245605386786638</v>
      </c>
      <c r="T122" s="304">
        <f t="shared" ca="1" si="30"/>
        <v>65.9679388844377</v>
      </c>
      <c r="U122" s="311">
        <f t="shared" ca="1" si="31"/>
        <v>0</v>
      </c>
      <c r="V122" s="306">
        <f t="shared" ca="1" si="32"/>
        <v>1.216399775170492</v>
      </c>
      <c r="W122" s="304">
        <f t="shared" ca="1" si="33"/>
        <v>39.634800324771284</v>
      </c>
      <c r="Y122" s="314" t="str">
        <f t="shared" ca="1" si="51"/>
        <v/>
      </c>
      <c r="Z122" s="315" t="str">
        <f t="shared" ca="1" si="52"/>
        <v/>
      </c>
      <c r="AA122" s="316" t="str">
        <f t="shared" ca="1" si="53"/>
        <v/>
      </c>
      <c r="AC122" s="310" t="e">
        <f t="shared" ca="1" si="54"/>
        <v>#N/A</v>
      </c>
      <c r="AD122" s="323" t="e">
        <f t="shared" ca="1" si="55"/>
        <v>#N/A</v>
      </c>
      <c r="AE122" s="324">
        <f t="shared" ca="1" si="34"/>
        <v>70.453228651645574</v>
      </c>
      <c r="AG122" s="306">
        <f t="shared" ca="1" si="56"/>
        <v>90.164975028857356</v>
      </c>
      <c r="AH122" s="304">
        <f t="shared" ca="1" si="57"/>
        <v>99.926723902661948</v>
      </c>
    </row>
    <row r="123" spans="1:34" x14ac:dyDescent="0.2">
      <c r="A123" s="347">
        <f t="shared" ca="1" si="35"/>
        <v>0.01</v>
      </c>
      <c r="B123" s="304">
        <f t="shared" ca="1" si="36"/>
        <v>1.1900000000000008</v>
      </c>
      <c r="D123" s="306">
        <f t="shared" ca="1" si="37"/>
        <v>9.8797713564666694</v>
      </c>
      <c r="E123" s="307">
        <f t="shared" ca="1" si="38"/>
        <v>89.351645189690089</v>
      </c>
      <c r="F123" s="304">
        <f t="shared" ca="1" si="39"/>
        <v>89.896197807028116</v>
      </c>
      <c r="G123" s="306">
        <f t="shared" ca="1" si="40"/>
        <v>11.811540360180338</v>
      </c>
      <c r="H123" s="307">
        <f t="shared" ca="1" si="41"/>
        <v>118.45239394167201</v>
      </c>
      <c r="I123" s="304">
        <f t="shared" ca="1" si="42"/>
        <v>119.0398341572821</v>
      </c>
      <c r="J123" s="306">
        <f t="shared" ca="1" si="43"/>
        <v>6.835575827844079</v>
      </c>
      <c r="K123" s="307">
        <f t="shared" ca="1" si="44"/>
        <v>71.633285008802815</v>
      </c>
      <c r="L123" s="304">
        <f t="shared" ca="1" si="29"/>
        <v>71.958686883868168</v>
      </c>
      <c r="M123" s="306">
        <f t="shared" ca="1" si="45"/>
        <v>1.4714093597813052</v>
      </c>
      <c r="N123" s="304">
        <f t="shared" ca="1" si="46"/>
        <v>84.305546251515281</v>
      </c>
      <c r="P123" s="310">
        <f t="shared" ca="1" si="47"/>
        <v>4</v>
      </c>
      <c r="Q123" s="304">
        <f t="shared" ca="1" si="48"/>
        <v>709.39999999999986</v>
      </c>
      <c r="R123" s="306">
        <f t="shared" ca="1" si="49"/>
        <v>0.35601480783338263</v>
      </c>
      <c r="S123" s="307">
        <f t="shared" ca="1" si="50"/>
        <v>6.7210003906003299</v>
      </c>
      <c r="T123" s="304">
        <f t="shared" ca="1" si="30"/>
        <v>65.933013831789239</v>
      </c>
      <c r="U123" s="311">
        <f t="shared" ca="1" si="31"/>
        <v>0</v>
      </c>
      <c r="V123" s="306">
        <f t="shared" ca="1" si="32"/>
        <v>1.2162562397997452</v>
      </c>
      <c r="W123" s="304">
        <f t="shared" ca="1" si="33"/>
        <v>40.235492507096509</v>
      </c>
      <c r="Y123" s="314" t="str">
        <f t="shared" ca="1" si="51"/>
        <v/>
      </c>
      <c r="Z123" s="315" t="str">
        <f t="shared" ca="1" si="52"/>
        <v/>
      </c>
      <c r="AA123" s="316" t="str">
        <f t="shared" ca="1" si="53"/>
        <v/>
      </c>
      <c r="AC123" s="310" t="e">
        <f t="shared" ca="1" si="54"/>
        <v>#N/A</v>
      </c>
      <c r="AD123" s="323" t="e">
        <f t="shared" ca="1" si="55"/>
        <v>#N/A</v>
      </c>
      <c r="AE123" s="324">
        <f t="shared" ca="1" si="34"/>
        <v>71.633285008802815</v>
      </c>
      <c r="AG123" s="306">
        <f t="shared" ca="1" si="56"/>
        <v>89.890936472968846</v>
      </c>
      <c r="AH123" s="304">
        <f t="shared" ca="1" si="57"/>
        <v>99.652605378796025</v>
      </c>
    </row>
    <row r="124" spans="1:34" x14ac:dyDescent="0.2">
      <c r="A124" s="347">
        <f t="shared" ca="1" si="35"/>
        <v>0.01</v>
      </c>
      <c r="B124" s="304">
        <f t="shared" ca="1" si="36"/>
        <v>1.2000000000000008</v>
      </c>
      <c r="D124" s="306">
        <f t="shared" ca="1" si="37"/>
        <v>9.8605952529851812</v>
      </c>
      <c r="E124" s="307">
        <f t="shared" ca="1" si="38"/>
        <v>89.077281234176652</v>
      </c>
      <c r="F124" s="304">
        <f t="shared" ca="1" si="39"/>
        <v>89.621389025253308</v>
      </c>
      <c r="G124" s="306">
        <f t="shared" ca="1" si="40"/>
        <v>11.910146312710189</v>
      </c>
      <c r="H124" s="307">
        <f t="shared" ca="1" si="41"/>
        <v>119.34316675401378</v>
      </c>
      <c r="I124" s="304">
        <f t="shared" ca="1" si="42"/>
        <v>119.93599558125369</v>
      </c>
      <c r="J124" s="306">
        <f t="shared" ca="1" si="43"/>
        <v>6.9541842612085318</v>
      </c>
      <c r="K124" s="307">
        <f t="shared" ca="1" si="44"/>
        <v>72.822262812281238</v>
      </c>
      <c r="L124" s="304">
        <f t="shared" ca="1" si="29"/>
        <v>73.153555209844725</v>
      </c>
      <c r="M124" s="306">
        <f t="shared" ca="1" si="45"/>
        <v>1.4713282013417037</v>
      </c>
      <c r="N124" s="304">
        <f t="shared" ca="1" si="46"/>
        <v>84.300896215454244</v>
      </c>
      <c r="P124" s="310">
        <f t="shared" ca="1" si="47"/>
        <v>4</v>
      </c>
      <c r="Q124" s="304">
        <f t="shared" ca="1" si="48"/>
        <v>707.79999999999984</v>
      </c>
      <c r="R124" s="306">
        <f t="shared" ca="1" si="49"/>
        <v>0.35521184238013565</v>
      </c>
      <c r="S124" s="307">
        <f t="shared" ca="1" si="50"/>
        <v>6.7174482721765285</v>
      </c>
      <c r="T124" s="304">
        <f t="shared" ca="1" si="30"/>
        <v>65.898167550051753</v>
      </c>
      <c r="U124" s="311">
        <f t="shared" ca="1" si="31"/>
        <v>0</v>
      </c>
      <c r="V124" s="306">
        <f t="shared" ca="1" si="32"/>
        <v>1.2161116363432047</v>
      </c>
      <c r="W124" s="304">
        <f t="shared" ca="1" si="33"/>
        <v>40.83872240158496</v>
      </c>
      <c r="Y124" s="314" t="str">
        <f t="shared" ca="1" si="51"/>
        <v/>
      </c>
      <c r="Z124" s="315" t="str">
        <f t="shared" ca="1" si="52"/>
        <v/>
      </c>
      <c r="AA124" s="316" t="str">
        <f t="shared" ca="1" si="53"/>
        <v/>
      </c>
      <c r="AC124" s="310" t="e">
        <f t="shared" ca="1" si="54"/>
        <v>#N/A</v>
      </c>
      <c r="AD124" s="323" t="e">
        <f t="shared" ca="1" si="55"/>
        <v>#N/A</v>
      </c>
      <c r="AE124" s="324">
        <f t="shared" ca="1" si="34"/>
        <v>72.822262812281238</v>
      </c>
      <c r="AG124" s="306">
        <f t="shared" ca="1" si="56"/>
        <v>89.616102898083923</v>
      </c>
      <c r="AH124" s="304">
        <f t="shared" ca="1" si="57"/>
        <v>99.377692308839315</v>
      </c>
    </row>
    <row r="125" spans="1:34" x14ac:dyDescent="0.2">
      <c r="A125" s="347">
        <f t="shared" ca="1" si="35"/>
        <v>0.01</v>
      </c>
      <c r="B125" s="304">
        <f t="shared" ca="1" si="36"/>
        <v>1.2100000000000009</v>
      </c>
      <c r="D125" s="306">
        <f t="shared" ca="1" si="37"/>
        <v>9.841242547534458</v>
      </c>
      <c r="E125" s="307">
        <f t="shared" ca="1" si="38"/>
        <v>88.802142922519934</v>
      </c>
      <c r="F125" s="304">
        <f t="shared" ca="1" si="39"/>
        <v>89.345792528305779</v>
      </c>
      <c r="G125" s="306">
        <f t="shared" ca="1" si="40"/>
        <v>12.008558738185535</v>
      </c>
      <c r="H125" s="307">
        <f t="shared" ca="1" si="41"/>
        <v>120.23118818323898</v>
      </c>
      <c r="I125" s="304">
        <f t="shared" ca="1" si="42"/>
        <v>120.82940078855758</v>
      </c>
      <c r="J125" s="306">
        <f t="shared" ca="1" si="43"/>
        <v>7.07377778646301</v>
      </c>
      <c r="K125" s="307">
        <f t="shared" ca="1" si="44"/>
        <v>74.020134586967501</v>
      </c>
      <c r="L125" s="304">
        <f t="shared" ca="1" si="29"/>
        <v>74.357371231405423</v>
      </c>
      <c r="M125" s="306">
        <f t="shared" ca="1" si="45"/>
        <v>1.4712475774164726</v>
      </c>
      <c r="N125" s="304">
        <f t="shared" ca="1" si="46"/>
        <v>84.296276804810731</v>
      </c>
      <c r="P125" s="310">
        <f t="shared" ca="1" si="47"/>
        <v>4</v>
      </c>
      <c r="Q125" s="304">
        <f t="shared" ca="1" si="48"/>
        <v>706.19999999999982</v>
      </c>
      <c r="R125" s="306">
        <f t="shared" ca="1" si="49"/>
        <v>0.35440887692688861</v>
      </c>
      <c r="S125" s="307">
        <f t="shared" ca="1" si="50"/>
        <v>6.7139041834072595</v>
      </c>
      <c r="T125" s="304">
        <f t="shared" ca="1" si="30"/>
        <v>65.863400039225212</v>
      </c>
      <c r="U125" s="311">
        <f t="shared" ca="1" si="31"/>
        <v>0</v>
      </c>
      <c r="V125" s="306">
        <f t="shared" ca="1" si="32"/>
        <v>1.2159659685243809</v>
      </c>
      <c r="W125" s="304">
        <f t="shared" ca="1" si="33"/>
        <v>41.444440209720625</v>
      </c>
      <c r="Y125" s="314" t="str">
        <f t="shared" ca="1" si="51"/>
        <v/>
      </c>
      <c r="Z125" s="315" t="str">
        <f t="shared" ca="1" si="52"/>
        <v/>
      </c>
      <c r="AA125" s="316" t="str">
        <f t="shared" ca="1" si="53"/>
        <v/>
      </c>
      <c r="AC125" s="310" t="e">
        <f t="shared" ca="1" si="54"/>
        <v>#N/A</v>
      </c>
      <c r="AD125" s="323" t="e">
        <f t="shared" ca="1" si="55"/>
        <v>#N/A</v>
      </c>
      <c r="AE125" s="324">
        <f t="shared" ca="1" si="34"/>
        <v>74.020134586967501</v>
      </c>
      <c r="AG125" s="306">
        <f t="shared" ca="1" si="56"/>
        <v>89.340481459519992</v>
      </c>
      <c r="AH125" s="304">
        <f t="shared" ca="1" si="57"/>
        <v>99.101991839977174</v>
      </c>
    </row>
    <row r="126" spans="1:34" x14ac:dyDescent="0.2">
      <c r="A126" s="347">
        <f t="shared" ca="1" si="35"/>
        <v>0.01</v>
      </c>
      <c r="B126" s="304">
        <f t="shared" ca="1" si="36"/>
        <v>1.2200000000000009</v>
      </c>
      <c r="D126" s="306">
        <f t="shared" ca="1" si="37"/>
        <v>9.8217151418143587</v>
      </c>
      <c r="E126" s="307">
        <f t="shared" ca="1" si="38"/>
        <v>88.526237282383235</v>
      </c>
      <c r="F126" s="304">
        <f t="shared" ca="1" si="39"/>
        <v>89.069415489851309</v>
      </c>
      <c r="G126" s="306">
        <f t="shared" ca="1" si="40"/>
        <v>12.106775889603679</v>
      </c>
      <c r="H126" s="307">
        <f t="shared" ca="1" si="41"/>
        <v>121.11645055606282</v>
      </c>
      <c r="I126" s="304">
        <f t="shared" ca="1" si="42"/>
        <v>121.7200419723075</v>
      </c>
      <c r="J126" s="306">
        <f t="shared" ca="1" si="43"/>
        <v>7.1943544596019562</v>
      </c>
      <c r="K126" s="307">
        <f t="shared" ca="1" si="44"/>
        <v>75.22687278066401</v>
      </c>
      <c r="L126" s="304">
        <f t="shared" ca="1" si="29"/>
        <v>75.570107347076075</v>
      </c>
      <c r="M126" s="306">
        <f t="shared" ca="1" si="45"/>
        <v>1.4711674787696276</v>
      </c>
      <c r="N126" s="304">
        <f t="shared" ca="1" si="46"/>
        <v>84.291687490401799</v>
      </c>
      <c r="P126" s="310">
        <f t="shared" ca="1" si="47"/>
        <v>4</v>
      </c>
      <c r="Q126" s="304">
        <f t="shared" ca="1" si="48"/>
        <v>704.5999999999998</v>
      </c>
      <c r="R126" s="306">
        <f t="shared" ca="1" si="49"/>
        <v>0.35360591147364162</v>
      </c>
      <c r="S126" s="307">
        <f t="shared" ca="1" si="50"/>
        <v>6.7103681242925228</v>
      </c>
      <c r="T126" s="304">
        <f t="shared" ca="1" si="30"/>
        <v>65.828711299309646</v>
      </c>
      <c r="U126" s="311">
        <f t="shared" ca="1" si="31"/>
        <v>0</v>
      </c>
      <c r="V126" s="306">
        <f t="shared" ca="1" si="32"/>
        <v>1.2158192400773056</v>
      </c>
      <c r="W126" s="304">
        <f t="shared" ca="1" si="33"/>
        <v>42.052596168255086</v>
      </c>
      <c r="Y126" s="314" t="str">
        <f t="shared" ca="1" si="51"/>
        <v/>
      </c>
      <c r="Z126" s="315" t="str">
        <f t="shared" ca="1" si="52"/>
        <v/>
      </c>
      <c r="AA126" s="316" t="str">
        <f t="shared" ca="1" si="53"/>
        <v/>
      </c>
      <c r="AC126" s="310" t="e">
        <f t="shared" ca="1" si="54"/>
        <v>#N/A</v>
      </c>
      <c r="AD126" s="323" t="e">
        <f t="shared" ca="1" si="55"/>
        <v>#N/A</v>
      </c>
      <c r="AE126" s="324">
        <f t="shared" ca="1" si="34"/>
        <v>75.22687278066401</v>
      </c>
      <c r="AG126" s="306">
        <f t="shared" ca="1" si="56"/>
        <v>89.064079328460906</v>
      </c>
      <c r="AH126" s="304">
        <f t="shared" ca="1" si="57"/>
        <v>98.825511135455926</v>
      </c>
    </row>
    <row r="127" spans="1:34" x14ac:dyDescent="0.2">
      <c r="A127" s="347">
        <f t="shared" ca="1" si="35"/>
        <v>0.01</v>
      </c>
      <c r="B127" s="304">
        <f t="shared" ca="1" si="36"/>
        <v>1.2300000000000009</v>
      </c>
      <c r="D127" s="306">
        <f t="shared" ca="1" si="37"/>
        <v>9.8020149106533072</v>
      </c>
      <c r="E127" s="307">
        <f t="shared" ca="1" si="38"/>
        <v>88.249571359158594</v>
      </c>
      <c r="F127" s="304">
        <f t="shared" ca="1" si="39"/>
        <v>88.79226509884684</v>
      </c>
      <c r="G127" s="306">
        <f t="shared" ca="1" si="40"/>
        <v>12.204796038710212</v>
      </c>
      <c r="H127" s="307">
        <f t="shared" ca="1" si="41"/>
        <v>121.9989462696544</v>
      </c>
      <c r="I127" s="304">
        <f t="shared" ca="1" si="42"/>
        <v>122.60791139748095</v>
      </c>
      <c r="J127" s="306">
        <f t="shared" ca="1" si="43"/>
        <v>7.3159123192435258</v>
      </c>
      <c r="K127" s="307">
        <f t="shared" ca="1" si="44"/>
        <v>76.442449764792599</v>
      </c>
      <c r="L127" s="304">
        <f t="shared" ca="1" si="29"/>
        <v>76.791735877669154</v>
      </c>
      <c r="M127" s="306">
        <f t="shared" ca="1" si="45"/>
        <v>1.4710878963895995</v>
      </c>
      <c r="N127" s="304">
        <f t="shared" ca="1" si="46"/>
        <v>84.287127755902588</v>
      </c>
      <c r="P127" s="310">
        <f t="shared" ca="1" si="47"/>
        <v>4</v>
      </c>
      <c r="Q127" s="304">
        <f t="shared" ca="1" si="48"/>
        <v>702.99999999999989</v>
      </c>
      <c r="R127" s="306">
        <f t="shared" ca="1" si="49"/>
        <v>0.35280294602039469</v>
      </c>
      <c r="S127" s="307">
        <f t="shared" ca="1" si="50"/>
        <v>6.7068400948323186</v>
      </c>
      <c r="T127" s="304">
        <f t="shared" ca="1" si="30"/>
        <v>65.794101330305054</v>
      </c>
      <c r="U127" s="311">
        <f t="shared" ca="1" si="31"/>
        <v>0</v>
      </c>
      <c r="V127" s="306">
        <f t="shared" ca="1" si="32"/>
        <v>1.2156714547464091</v>
      </c>
      <c r="W127" s="304">
        <f t="shared" ca="1" si="33"/>
        <v>42.663140552860767</v>
      </c>
      <c r="Y127" s="314" t="str">
        <f t="shared" ca="1" si="51"/>
        <v/>
      </c>
      <c r="Z127" s="315" t="str">
        <f t="shared" ca="1" si="52"/>
        <v/>
      </c>
      <c r="AA127" s="316" t="str">
        <f t="shared" ca="1" si="53"/>
        <v/>
      </c>
      <c r="AC127" s="310" t="e">
        <f t="shared" ca="1" si="54"/>
        <v>#N/A</v>
      </c>
      <c r="AD127" s="323" t="e">
        <f t="shared" ca="1" si="55"/>
        <v>#N/A</v>
      </c>
      <c r="AE127" s="324">
        <f t="shared" ca="1" si="34"/>
        <v>76.442449764792599</v>
      </c>
      <c r="AG127" s="306">
        <f t="shared" ca="1" si="56"/>
        <v>88.786903691372643</v>
      </c>
      <c r="AH127" s="304">
        <f t="shared" ca="1" si="57"/>
        <v>98.548257373992087</v>
      </c>
    </row>
    <row r="128" spans="1:34" x14ac:dyDescent="0.2">
      <c r="A128" s="347">
        <f t="shared" ca="1" si="35"/>
        <v>0.01</v>
      </c>
      <c r="B128" s="304">
        <f t="shared" ca="1" si="36"/>
        <v>1.2400000000000009</v>
      </c>
      <c r="D128" s="306">
        <f t="shared" ca="1" si="37"/>
        <v>9.7821437029141851</v>
      </c>
      <c r="E128" s="307">
        <f t="shared" ca="1" si="38"/>
        <v>87.972152215301165</v>
      </c>
      <c r="F128" s="304">
        <f t="shared" ca="1" si="39"/>
        <v>88.514348558957266</v>
      </c>
      <c r="G128" s="306">
        <f t="shared" ca="1" si="40"/>
        <v>12.302617475739353</v>
      </c>
      <c r="H128" s="307">
        <f t="shared" ca="1" si="41"/>
        <v>122.8786677918074</v>
      </c>
      <c r="I128" s="304">
        <f t="shared" ca="1" si="42"/>
        <v>123.49300140106617</v>
      </c>
      <c r="J128" s="306">
        <f t="shared" ca="1" si="43"/>
        <v>7.4384493868157735</v>
      </c>
      <c r="K128" s="307">
        <f t="shared" ca="1" si="44"/>
        <v>77.666837835099912</v>
      </c>
      <c r="L128" s="304">
        <f t="shared" ca="1" si="29"/>
        <v>78.022229067003252</v>
      </c>
      <c r="M128" s="306">
        <f t="shared" ca="1" si="45"/>
        <v>1.4710088214819119</v>
      </c>
      <c r="N128" s="304">
        <f t="shared" ca="1" si="46"/>
        <v>84.282597097426702</v>
      </c>
      <c r="P128" s="310">
        <f t="shared" ca="1" si="47"/>
        <v>4</v>
      </c>
      <c r="Q128" s="304">
        <f t="shared" ca="1" si="48"/>
        <v>701.39999999999986</v>
      </c>
      <c r="R128" s="306">
        <f t="shared" ca="1" si="49"/>
        <v>0.35199998056714771</v>
      </c>
      <c r="S128" s="307">
        <f t="shared" ca="1" si="50"/>
        <v>6.7033200950266467</v>
      </c>
      <c r="T128" s="304">
        <f t="shared" ca="1" si="30"/>
        <v>65.759570132211408</v>
      </c>
      <c r="U128" s="311">
        <f t="shared" ca="1" si="31"/>
        <v>0</v>
      </c>
      <c r="V128" s="306">
        <f t="shared" ca="1" si="32"/>
        <v>1.2155226162863999</v>
      </c>
      <c r="W128" s="304">
        <f t="shared" ca="1" si="33"/>
        <v>43.276023681765913</v>
      </c>
      <c r="Y128" s="314" t="str">
        <f t="shared" ca="1" si="51"/>
        <v/>
      </c>
      <c r="Z128" s="315" t="str">
        <f t="shared" ca="1" si="52"/>
        <v/>
      </c>
      <c r="AA128" s="316" t="str">
        <f t="shared" ca="1" si="53"/>
        <v/>
      </c>
      <c r="AC128" s="310" t="e">
        <f t="shared" ca="1" si="54"/>
        <v>#N/A</v>
      </c>
      <c r="AD128" s="323" t="e">
        <f t="shared" ca="1" si="55"/>
        <v>#N/A</v>
      </c>
      <c r="AE128" s="324">
        <f t="shared" ca="1" si="34"/>
        <v>77.666837835099912</v>
      </c>
      <c r="AG128" s="306">
        <f t="shared" ca="1" si="56"/>
        <v>88.5089617494191</v>
      </c>
      <c r="AH128" s="304">
        <f t="shared" ca="1" si="57"/>
        <v>98.270237749182186</v>
      </c>
    </row>
    <row r="129" spans="1:34" x14ac:dyDescent="0.2">
      <c r="A129" s="347">
        <f t="shared" ca="1" si="35"/>
        <v>0.01</v>
      </c>
      <c r="B129" s="304">
        <f t="shared" ca="1" si="36"/>
        <v>1.2500000000000009</v>
      </c>
      <c r="D129" s="306">
        <f t="shared" ca="1" si="37"/>
        <v>9.7621033423603158</v>
      </c>
      <c r="E129" s="307">
        <f t="shared" ca="1" si="38"/>
        <v>87.693986929667361</v>
      </c>
      <c r="F129" s="304">
        <f t="shared" ca="1" si="39"/>
        <v>88.235673087972714</v>
      </c>
      <c r="G129" s="306">
        <f t="shared" ca="1" si="40"/>
        <v>12.400238509162957</v>
      </c>
      <c r="H129" s="307">
        <f t="shared" ca="1" si="41"/>
        <v>123.75560766110408</v>
      </c>
      <c r="I129" s="304">
        <f t="shared" ca="1" si="42"/>
        <v>124.3753043922034</v>
      </c>
      <c r="J129" s="306">
        <f t="shared" ca="1" si="43"/>
        <v>7.5619636667402848</v>
      </c>
      <c r="K129" s="307">
        <f t="shared" ca="1" si="44"/>
        <v>78.900009212364466</v>
      </c>
      <c r="L129" s="304">
        <f t="shared" ca="1" si="29"/>
        <v>79.261559082624018</v>
      </c>
      <c r="M129" s="306">
        <f t="shared" ca="1" si="45"/>
        <v>1.4709302454621551</v>
      </c>
      <c r="N129" s="304">
        <f t="shared" ca="1" si="46"/>
        <v>84.278095023123697</v>
      </c>
      <c r="P129" s="310">
        <f t="shared" ca="1" si="47"/>
        <v>4</v>
      </c>
      <c r="Q129" s="304">
        <f t="shared" ca="1" si="48"/>
        <v>699.79999999999984</v>
      </c>
      <c r="R129" s="306">
        <f t="shared" ca="1" si="49"/>
        <v>0.35119701511390067</v>
      </c>
      <c r="S129" s="307">
        <f t="shared" ca="1" si="50"/>
        <v>6.6998081248755081</v>
      </c>
      <c r="T129" s="304">
        <f t="shared" ca="1" si="30"/>
        <v>65.725117705028737</v>
      </c>
      <c r="U129" s="311">
        <f t="shared" ca="1" si="31"/>
        <v>0</v>
      </c>
      <c r="V129" s="306">
        <f t="shared" ca="1" si="32"/>
        <v>1.2153727284621367</v>
      </c>
      <c r="W129" s="304">
        <f t="shared" ca="1" si="33"/>
        <v>43.891195919370503</v>
      </c>
      <c r="Y129" s="314" t="str">
        <f t="shared" ca="1" si="51"/>
        <v/>
      </c>
      <c r="Z129" s="315" t="str">
        <f t="shared" ca="1" si="52"/>
        <v/>
      </c>
      <c r="AA129" s="316" t="str">
        <f t="shared" ca="1" si="53"/>
        <v/>
      </c>
      <c r="AC129" s="310" t="e">
        <f t="shared" ca="1" si="54"/>
        <v>#N/A</v>
      </c>
      <c r="AD129" s="323" t="e">
        <f t="shared" ca="1" si="55"/>
        <v>#N/A</v>
      </c>
      <c r="AE129" s="324">
        <f t="shared" ca="1" si="34"/>
        <v>78.900009212364466</v>
      </c>
      <c r="AG129" s="306">
        <f t="shared" ca="1" si="56"/>
        <v>88.230260717878394</v>
      </c>
      <c r="AH129" s="304">
        <f t="shared" ca="1" si="57"/>
        <v>97.991459468913234</v>
      </c>
    </row>
    <row r="130" spans="1:34" x14ac:dyDescent="0.2">
      <c r="A130" s="347">
        <f t="shared" ca="1" si="35"/>
        <v>0.01</v>
      </c>
      <c r="B130" s="304">
        <f t="shared" ca="1" si="36"/>
        <v>1.2600000000000009</v>
      </c>
      <c r="D130" s="306">
        <f t="shared" ca="1" si="37"/>
        <v>9.7418956284839897</v>
      </c>
      <c r="E130" s="307">
        <f t="shared" ca="1" si="38"/>
        <v>87.415082596856564</v>
      </c>
      <c r="F130" s="304">
        <f t="shared" ca="1" si="39"/>
        <v>87.956245917225971</v>
      </c>
      <c r="G130" s="306">
        <f t="shared" ca="1" si="40"/>
        <v>12.497657465447796</v>
      </c>
      <c r="H130" s="307">
        <f t="shared" ca="1" si="41"/>
        <v>124.62975848707265</v>
      </c>
      <c r="I130" s="304">
        <f t="shared" ca="1" si="42"/>
        <v>125.25481285232004</v>
      </c>
      <c r="J130" s="306">
        <f t="shared" ca="1" si="43"/>
        <v>7.6864531466133386</v>
      </c>
      <c r="K130" s="307">
        <f t="shared" ca="1" si="44"/>
        <v>80.141936043105346</v>
      </c>
      <c r="L130" s="304">
        <f t="shared" ca="1" si="29"/>
        <v>80.509698016526372</v>
      </c>
      <c r="M130" s="306">
        <f t="shared" ca="1" si="45"/>
        <v>1.4708521599492426</v>
      </c>
      <c r="N130" s="304">
        <f t="shared" ca="1" si="46"/>
        <v>84.273621052792691</v>
      </c>
      <c r="P130" s="310">
        <f t="shared" ca="1" si="47"/>
        <v>4</v>
      </c>
      <c r="Q130" s="304">
        <f t="shared" ca="1" si="48"/>
        <v>698.19999999999982</v>
      </c>
      <c r="R130" s="306">
        <f t="shared" ca="1" si="49"/>
        <v>0.35039404966065368</v>
      </c>
      <c r="S130" s="307">
        <f t="shared" ca="1" si="50"/>
        <v>6.696304184378902</v>
      </c>
      <c r="T130" s="304">
        <f t="shared" ca="1" si="30"/>
        <v>65.690744048757026</v>
      </c>
      <c r="U130" s="311">
        <f t="shared" ca="1" si="31"/>
        <v>0</v>
      </c>
      <c r="V130" s="306">
        <f t="shared" ca="1" si="32"/>
        <v>1.2152217950485114</v>
      </c>
      <c r="W130" s="304">
        <f t="shared" ca="1" si="33"/>
        <v>44.508607679842989</v>
      </c>
      <c r="Y130" s="314" t="str">
        <f t="shared" ca="1" si="51"/>
        <v/>
      </c>
      <c r="Z130" s="315" t="str">
        <f t="shared" ca="1" si="52"/>
        <v/>
      </c>
      <c r="AA130" s="316" t="str">
        <f t="shared" ca="1" si="53"/>
        <v/>
      </c>
      <c r="AC130" s="310" t="e">
        <f t="shared" ca="1" si="54"/>
        <v>#N/A</v>
      </c>
      <c r="AD130" s="323" t="e">
        <f t="shared" ca="1" si="55"/>
        <v>#N/A</v>
      </c>
      <c r="AE130" s="324">
        <f t="shared" ca="1" si="34"/>
        <v>80.141936043105346</v>
      </c>
      <c r="AG130" s="306">
        <f t="shared" ca="1" si="56"/>
        <v>87.950807825559608</v>
      </c>
      <c r="AH130" s="304">
        <f t="shared" ca="1" si="57"/>
        <v>97.711929754773834</v>
      </c>
    </row>
    <row r="131" spans="1:34" x14ac:dyDescent="0.2">
      <c r="A131" s="347">
        <f t="shared" ca="1" si="35"/>
        <v>0.01</v>
      </c>
      <c r="B131" s="304">
        <f t="shared" ca="1" si="36"/>
        <v>1.2700000000000009</v>
      </c>
      <c r="D131" s="306">
        <f t="shared" ca="1" si="37"/>
        <v>9.7215223372990245</v>
      </c>
      <c r="E131" s="307">
        <f t="shared" ca="1" si="38"/>
        <v>87.135446326556675</v>
      </c>
      <c r="F131" s="304">
        <f t="shared" ca="1" si="39"/>
        <v>87.676074291010792</v>
      </c>
      <c r="G131" s="306">
        <f t="shared" ca="1" si="40"/>
        <v>12.594872688820786</v>
      </c>
      <c r="H131" s="307">
        <f t="shared" ca="1" si="41"/>
        <v>125.50111295033821</v>
      </c>
      <c r="I131" s="304">
        <f t="shared" ca="1" si="42"/>
        <v>126.13151933526035</v>
      </c>
      <c r="J131" s="306">
        <f t="shared" ca="1" si="43"/>
        <v>7.8119157973846818</v>
      </c>
      <c r="K131" s="307">
        <f t="shared" ca="1" si="44"/>
        <v>81.392590400292406</v>
      </c>
      <c r="L131" s="304">
        <f t="shared" ca="1" si="29"/>
        <v>81.766617885878105</v>
      </c>
      <c r="M131" s="306">
        <f t="shared" ca="1" si="45"/>
        <v>1.4707745567589368</v>
      </c>
      <c r="N131" s="304">
        <f t="shared" ca="1" si="46"/>
        <v>84.269174717511419</v>
      </c>
      <c r="P131" s="310">
        <f t="shared" ca="1" si="47"/>
        <v>4</v>
      </c>
      <c r="Q131" s="304">
        <f t="shared" ca="1" si="48"/>
        <v>696.5999999999998</v>
      </c>
      <c r="R131" s="306">
        <f t="shared" ca="1" si="49"/>
        <v>0.3495910842074067</v>
      </c>
      <c r="S131" s="307">
        <f t="shared" ca="1" si="50"/>
        <v>6.6928082735368282</v>
      </c>
      <c r="T131" s="304">
        <f t="shared" ca="1" si="30"/>
        <v>65.656449163396289</v>
      </c>
      <c r="U131" s="311">
        <f t="shared" ca="1" si="31"/>
        <v>0</v>
      </c>
      <c r="V131" s="306">
        <f t="shared" ca="1" si="32"/>
        <v>1.2150698198303216</v>
      </c>
      <c r="W131" s="304">
        <f t="shared" ca="1" si="33"/>
        <v>45.12820943069741</v>
      </c>
      <c r="Y131" s="314" t="str">
        <f t="shared" ca="1" si="51"/>
        <v/>
      </c>
      <c r="Z131" s="315" t="str">
        <f t="shared" ca="1" si="52"/>
        <v/>
      </c>
      <c r="AA131" s="316" t="str">
        <f t="shared" ca="1" si="53"/>
        <v/>
      </c>
      <c r="AC131" s="310" t="e">
        <f t="shared" ca="1" si="54"/>
        <v>#N/A</v>
      </c>
      <c r="AD131" s="323" t="e">
        <f t="shared" ca="1" si="55"/>
        <v>#N/A</v>
      </c>
      <c r="AE131" s="324">
        <f t="shared" ca="1" si="34"/>
        <v>81.392590400292406</v>
      </c>
      <c r="AG131" s="306">
        <f t="shared" ca="1" si="56"/>
        <v>87.670610314219985</v>
      </c>
      <c r="AH131" s="304">
        <f t="shared" ca="1" si="57"/>
        <v>97.431655841466053</v>
      </c>
    </row>
    <row r="132" spans="1:34" x14ac:dyDescent="0.2">
      <c r="A132" s="347">
        <f t="shared" ca="1" si="35"/>
        <v>0.01</v>
      </c>
      <c r="B132" s="304">
        <f t="shared" ca="1" si="36"/>
        <v>1.2800000000000009</v>
      </c>
      <c r="D132" s="306">
        <f t="shared" ca="1" si="37"/>
        <v>9.7009852220993285</v>
      </c>
      <c r="E132" s="307">
        <f t="shared" ca="1" si="38"/>
        <v>86.855085242893182</v>
      </c>
      <c r="F132" s="304">
        <f t="shared" ca="1" si="39"/>
        <v>87.395165466000634</v>
      </c>
      <c r="G132" s="306">
        <f t="shared" ca="1" si="40"/>
        <v>12.69188254104178</v>
      </c>
      <c r="H132" s="307">
        <f t="shared" ca="1" si="41"/>
        <v>126.36966380276715</v>
      </c>
      <c r="I132" s="304">
        <f t="shared" ca="1" si="42"/>
        <v>127.00541646740898</v>
      </c>
      <c r="J132" s="306">
        <f t="shared" ca="1" si="43"/>
        <v>7.9383495735339942</v>
      </c>
      <c r="K132" s="307">
        <f t="shared" ca="1" si="44"/>
        <v>82.651944284057933</v>
      </c>
      <c r="L132" s="304">
        <f t="shared" ref="L132:L195" ca="1" si="58">SQRT(pos_x^2+pos_z^2)</f>
        <v>83.03229063374468</v>
      </c>
      <c r="M132" s="306">
        <f t="shared" ca="1" si="45"/>
        <v>1.4706974278976321</v>
      </c>
      <c r="N132" s="304">
        <f t="shared" ca="1" si="46"/>
        <v>84.264755559280019</v>
      </c>
      <c r="P132" s="310">
        <f t="shared" ca="1" si="47"/>
        <v>4</v>
      </c>
      <c r="Q132" s="304">
        <f t="shared" ca="1" si="48"/>
        <v>694.99999999999989</v>
      </c>
      <c r="R132" s="306">
        <f t="shared" ca="1" si="49"/>
        <v>0.34878811875415977</v>
      </c>
      <c r="S132" s="307">
        <f t="shared" ca="1" si="50"/>
        <v>6.6893203923492868</v>
      </c>
      <c r="T132" s="304">
        <f t="shared" ref="T132:T195" ca="1" si="59">m*g</f>
        <v>65.622233048946512</v>
      </c>
      <c r="U132" s="311">
        <f t="shared" ref="U132:U195" ca="1" si="60">IF(pos_xz&lt;L_rampe,Poids*COS(Beta),0)</f>
        <v>0</v>
      </c>
      <c r="V132" s="306">
        <f t="shared" ref="V132:V195" ca="1" si="61">Rho_moyen*(20000-Alt_rampe-pos_z)/(20000+Alt_rampe+pos_z)</f>
        <v>1.2149168066021492</v>
      </c>
      <c r="W132" s="304">
        <f t="shared" ref="W132:W195" ca="1" si="62">1/2*Rho*Sref*Cx*vit_xz^2</f>
        <v>45.749951696350081</v>
      </c>
      <c r="Y132" s="314" t="str">
        <f t="shared" ca="1" si="51"/>
        <v/>
      </c>
      <c r="Z132" s="315" t="str">
        <f t="shared" ca="1" si="52"/>
        <v/>
      </c>
      <c r="AA132" s="316" t="str">
        <f t="shared" ca="1" si="53"/>
        <v/>
      </c>
      <c r="AC132" s="310" t="e">
        <f t="shared" ca="1" si="54"/>
        <v>#N/A</v>
      </c>
      <c r="AD132" s="323" t="e">
        <f t="shared" ca="1" si="55"/>
        <v>#N/A</v>
      </c>
      <c r="AE132" s="324">
        <f t="shared" ref="AE132:AE195" ca="1" si="63">IF(t&lt;T_para, pos_z, NA())</f>
        <v>82.651944284057933</v>
      </c>
      <c r="AG132" s="306">
        <f t="shared" ca="1" si="56"/>
        <v>87.389675437982888</v>
      </c>
      <c r="AH132" s="304">
        <f t="shared" ca="1" si="57"/>
        <v>97.150644976218231</v>
      </c>
    </row>
    <row r="133" spans="1:34" x14ac:dyDescent="0.2">
      <c r="A133" s="347">
        <f t="shared" ref="A133:A196" ca="1" si="64">IF(B132+0.01&lt;=T_ini+ROUNDUP(Temps_fin_propu,0), 0.01, IF(K132&gt;0, 0.1, 0.0001))</f>
        <v>0.01</v>
      </c>
      <c r="B133" s="304">
        <f t="shared" ref="B133:B196" ca="1" si="65">B132+pas</f>
        <v>1.2900000000000009</v>
      </c>
      <c r="D133" s="306">
        <f t="shared" ref="D133:D196" ca="1" si="66">IF(AND(L132&lt;L_rampe,Poussee&lt;Poids*SIN(M132)),0,(-W132+Poussee)/m*COS(M132)-U132/m*SIN(M132))</f>
        <v>9.6802860141848406</v>
      </c>
      <c r="E133" s="307">
        <f t="shared" ref="E133:E196" ca="1" si="67">IF(AND(L132&lt;L_rampe,Poussee&lt;Poids*SIN(M132)),0,(-W132+Poussee)/m*SIN(M132)+U132/m*COS(M132)-Poids/m)</f>
        <v>86.574006483781787</v>
      </c>
      <c r="F133" s="304">
        <f t="shared" ref="F133:F196" ca="1" si="68">SQRT(acc_x^2+acc_z^2)</f>
        <v>87.113526710668268</v>
      </c>
      <c r="G133" s="306">
        <f t="shared" ref="G133:G196" ca="1" si="69">G132+acc_x*pas</f>
        <v>12.788685401183628</v>
      </c>
      <c r="H133" s="307">
        <f t="shared" ref="H133:H196" ca="1" si="70">H132+acc_z*pas</f>
        <v>127.23540386760497</v>
      </c>
      <c r="I133" s="304">
        <f t="shared" ref="I133:I196" ca="1" si="71">SQRT(vit_x^2+vit_z^2)</f>
        <v>127.87649694780896</v>
      </c>
      <c r="J133" s="306">
        <f t="shared" ref="J133:J196" ca="1" si="72">J132+0.5*(vit_x+G132)*pas*(K132&gt;=0)</f>
        <v>8.0657524132451215</v>
      </c>
      <c r="K133" s="307">
        <f t="shared" ref="K133:K196" ca="1" si="73">K132+0.5*(vit_z+H132)*pas</f>
        <v>83.919969622409795</v>
      </c>
      <c r="L133" s="304">
        <f t="shared" ca="1" si="58"/>
        <v>84.30668812981537</v>
      </c>
      <c r="M133" s="306">
        <f t="shared" ref="M133:M196" ca="1" si="74">IF(AND(L132&gt;L_rampe,G133&gt;0),ATAN2(G133,H133),$M$4)</f>
        <v>1.4706207655563805</v>
      </c>
      <c r="N133" s="304">
        <f t="shared" ref="N133:N196" ca="1" si="75">DEGREES(Beta)</f>
        <v>84.260363130678712</v>
      </c>
      <c r="P133" s="310">
        <f t="shared" ref="P133:P196" ca="1" si="76">MATCH(t-pas/2-T_ini,CdP_t)</f>
        <v>4</v>
      </c>
      <c r="Q133" s="304">
        <f t="shared" ref="Q133:Q196" ca="1" si="77">(INDEX(CdP,2,i_P+1)-INDEX(CdP,2,i_P+0))/(INDEX(CdP,1,i_P+1)-INDEX(CdP,1,i_P+0))*(t-pas/2-T_ini-INDEX(CdP,1,i_P+0))+INDEX(CdP,2,i_P+0)</f>
        <v>693.39999999999986</v>
      </c>
      <c r="R133" s="306">
        <f t="shared" ref="R133:R196" ca="1" si="78">Poussee/(g*ISP)</f>
        <v>0.34798515330091273</v>
      </c>
      <c r="S133" s="307">
        <f t="shared" ref="S133:S196" ca="1" si="79">S132-Débit*pas</f>
        <v>6.6858405408162778</v>
      </c>
      <c r="T133" s="304">
        <f t="shared" ca="1" si="59"/>
        <v>65.588095705407682</v>
      </c>
      <c r="U133" s="311">
        <f t="shared" ca="1" si="60"/>
        <v>0</v>
      </c>
      <c r="V133" s="306">
        <f t="shared" ca="1" si="61"/>
        <v>1.214762759168236</v>
      </c>
      <c r="W133" s="304">
        <f t="shared" ca="1" si="62"/>
        <v>46.373785061656164</v>
      </c>
      <c r="Y133" s="314" t="str">
        <f t="shared" ref="Y133:Y196" ca="1" si="80">IF(AND(pos_z&lt;=0,K132&gt;0),"Impact balistique","") &amp; IF(AND(H134&lt;0,vit_z&gt;=0),"Apogée","") &amp; IF(AND(Poussee=0,Q132&gt;0),"Fin de propulsion","") &amp; IF(AND(L134&gt;L_rampe,pos_xz&lt;=L_rampe),"Sortie de rampe","")</f>
        <v/>
      </c>
      <c r="Z133" s="315" t="str">
        <f t="shared" ref="Z133:Z196" ca="1" si="81">IF(ABS(t-T_para)&lt;pas/2,"Para","")</f>
        <v/>
      </c>
      <c r="AA133" s="316" t="str">
        <f t="shared" ref="AA133:AA196" ca="1" si="82">IF(ABS(t-T_satellite)&lt;pas/2,"Satellite","")</f>
        <v/>
      </c>
      <c r="AC133" s="310" t="e">
        <f t="shared" ref="AC133:AC196" ca="1" si="83">IF(ABS(t-ROUND(t,0))&lt;0.001,t,NA())</f>
        <v>#N/A</v>
      </c>
      <c r="AD133" s="323" t="e">
        <f t="shared" ref="AD133:AD196" ca="1" si="84">IF(ABS(t-ROUND(t,0))&lt;0.001,pos_x,NA())</f>
        <v>#N/A</v>
      </c>
      <c r="AE133" s="324">
        <f t="shared" ca="1" si="63"/>
        <v>83.919969622409795</v>
      </c>
      <c r="AG133" s="306">
        <f t="shared" ref="AG133:AG196" ca="1" si="85">IF(AND(L132&lt;L_rampe,Poussee&lt;Poids*SIN(M132)),0,(-W132+Poussee)/m-Poids*SIN(M132)/m)</f>
        <v>87.108010462756525</v>
      </c>
      <c r="AH133" s="304">
        <f t="shared" ref="AH133:AH196" ca="1" si="86">IF(AND(L132&lt;L_rampe,Poussee&lt;Poids*SIN(M132)), g*SIN(M132), (-W132+Poussee)/m)</f>
        <v>96.868904418198682</v>
      </c>
    </row>
    <row r="134" spans="1:34" x14ac:dyDescent="0.2">
      <c r="A134" s="347">
        <f t="shared" ca="1" si="64"/>
        <v>0.01</v>
      </c>
      <c r="B134" s="304">
        <f t="shared" ca="1" si="65"/>
        <v>1.3000000000000009</v>
      </c>
      <c r="D134" s="306">
        <f t="shared" ca="1" si="66"/>
        <v>9.6594264235567291</v>
      </c>
      <c r="E134" s="307">
        <f t="shared" ca="1" si="67"/>
        <v>86.292217200284441</v>
      </c>
      <c r="F134" s="304">
        <f t="shared" ca="1" si="68"/>
        <v>86.831165304705962</v>
      </c>
      <c r="G134" s="306">
        <f t="shared" ca="1" si="69"/>
        <v>12.885279665419196</v>
      </c>
      <c r="H134" s="307">
        <f t="shared" ca="1" si="70"/>
        <v>128.09832603960783</v>
      </c>
      <c r="I134" s="304">
        <f t="shared" ca="1" si="71"/>
        <v>128.74475354827371</v>
      </c>
      <c r="J134" s="306">
        <f t="shared" ca="1" si="72"/>
        <v>8.1941222385781352</v>
      </c>
      <c r="K134" s="307">
        <f t="shared" ca="1" si="73"/>
        <v>85.196638271945858</v>
      </c>
      <c r="L134" s="304">
        <f t="shared" ca="1" si="58"/>
        <v>85.589782171130395</v>
      </c>
      <c r="M134" s="306">
        <f t="shared" ca="1" si="74"/>
        <v>1.4705445621051518</v>
      </c>
      <c r="N134" s="304">
        <f t="shared" ca="1" si="75"/>
        <v>84.255996994538975</v>
      </c>
      <c r="P134" s="310">
        <f t="shared" ca="1" si="76"/>
        <v>4</v>
      </c>
      <c r="Q134" s="304">
        <f t="shared" ca="1" si="77"/>
        <v>691.79999999999984</v>
      </c>
      <c r="R134" s="306">
        <f t="shared" ca="1" si="78"/>
        <v>0.34718218784766575</v>
      </c>
      <c r="S134" s="307">
        <f t="shared" ca="1" si="79"/>
        <v>6.6823687189378012</v>
      </c>
      <c r="T134" s="304">
        <f t="shared" ca="1" si="59"/>
        <v>65.55403713277984</v>
      </c>
      <c r="U134" s="311">
        <f t="shared" ca="1" si="60"/>
        <v>0</v>
      </c>
      <c r="V134" s="306">
        <f t="shared" ca="1" si="61"/>
        <v>1.2146076813423605</v>
      </c>
      <c r="W134" s="304">
        <f t="shared" ca="1" si="62"/>
        <v>46.999660175425021</v>
      </c>
      <c r="Y134" s="314" t="str">
        <f t="shared" ca="1" si="80"/>
        <v/>
      </c>
      <c r="Z134" s="315" t="str">
        <f t="shared" ca="1" si="81"/>
        <v/>
      </c>
      <c r="AA134" s="316" t="str">
        <f t="shared" ca="1" si="82"/>
        <v/>
      </c>
      <c r="AC134" s="310" t="e">
        <f t="shared" ca="1" si="83"/>
        <v>#N/A</v>
      </c>
      <c r="AD134" s="323" t="e">
        <f t="shared" ca="1" si="84"/>
        <v>#N/A</v>
      </c>
      <c r="AE134" s="324">
        <f t="shared" ca="1" si="63"/>
        <v>85.196638271945858</v>
      </c>
      <c r="AG134" s="306">
        <f t="shared" ca="1" si="85"/>
        <v>86.825622665653313</v>
      </c>
      <c r="AH134" s="304">
        <f t="shared" ca="1" si="86"/>
        <v>96.586441437930375</v>
      </c>
    </row>
    <row r="135" spans="1:34" x14ac:dyDescent="0.2">
      <c r="A135" s="347">
        <f t="shared" ca="1" si="64"/>
        <v>0.01</v>
      </c>
      <c r="B135" s="304">
        <f t="shared" ca="1" si="65"/>
        <v>1.3100000000000009</v>
      </c>
      <c r="D135" s="306">
        <f t="shared" ca="1" si="66"/>
        <v>9.6384081395828627</v>
      </c>
      <c r="E135" s="307">
        <f t="shared" ca="1" si="67"/>
        <v>86.009724555969086</v>
      </c>
      <c r="F135" s="304">
        <f t="shared" ca="1" si="68"/>
        <v>86.548088538446919</v>
      </c>
      <c r="G135" s="306">
        <f t="shared" ca="1" si="69"/>
        <v>12.981663746815025</v>
      </c>
      <c r="H135" s="307">
        <f t="shared" ca="1" si="70"/>
        <v>128.95842328516753</v>
      </c>
      <c r="I135" s="304">
        <f t="shared" ca="1" si="71"/>
        <v>129.61017911349327</v>
      </c>
      <c r="J135" s="306">
        <f t="shared" ca="1" si="72"/>
        <v>8.3234569556393065</v>
      </c>
      <c r="K135" s="307">
        <f t="shared" ca="1" si="73"/>
        <v>86.481922018569733</v>
      </c>
      <c r="L135" s="304">
        <f t="shared" ca="1" si="58"/>
        <v>86.881544482809218</v>
      </c>
      <c r="M135" s="306">
        <f t="shared" ca="1" si="74"/>
        <v>1.470468810087314</v>
      </c>
      <c r="N135" s="304">
        <f t="shared" ca="1" si="75"/>
        <v>84.251656723627264</v>
      </c>
      <c r="P135" s="310">
        <f t="shared" ca="1" si="76"/>
        <v>4</v>
      </c>
      <c r="Q135" s="304">
        <f t="shared" ca="1" si="77"/>
        <v>690.19999999999982</v>
      </c>
      <c r="R135" s="306">
        <f t="shared" ca="1" si="78"/>
        <v>0.34637922239441876</v>
      </c>
      <c r="S135" s="307">
        <f t="shared" ca="1" si="79"/>
        <v>6.6789049267138569</v>
      </c>
      <c r="T135" s="304">
        <f t="shared" ca="1" si="59"/>
        <v>65.520057331062944</v>
      </c>
      <c r="U135" s="311">
        <f t="shared" ca="1" si="60"/>
        <v>0</v>
      </c>
      <c r="V135" s="306">
        <f t="shared" ca="1" si="61"/>
        <v>1.2144515769477164</v>
      </c>
      <c r="W135" s="304">
        <f t="shared" ca="1" si="62"/>
        <v>47.627527753914414</v>
      </c>
      <c r="Y135" s="314" t="str">
        <f t="shared" ca="1" si="80"/>
        <v/>
      </c>
      <c r="Z135" s="315" t="str">
        <f t="shared" ca="1" si="81"/>
        <v/>
      </c>
      <c r="AA135" s="316" t="str">
        <f t="shared" ca="1" si="82"/>
        <v/>
      </c>
      <c r="AC135" s="310" t="e">
        <f t="shared" ca="1" si="83"/>
        <v>#N/A</v>
      </c>
      <c r="AD135" s="323" t="e">
        <f t="shared" ca="1" si="84"/>
        <v>#N/A</v>
      </c>
      <c r="AE135" s="324">
        <f t="shared" ca="1" si="63"/>
        <v>86.481922018569733</v>
      </c>
      <c r="AG135" s="306">
        <f t="shared" ca="1" si="85"/>
        <v>86.542519334410329</v>
      </c>
      <c r="AH135" s="304">
        <f t="shared" ca="1" si="86"/>
        <v>96.30326331670679</v>
      </c>
    </row>
    <row r="136" spans="1:34" x14ac:dyDescent="0.2">
      <c r="A136" s="347">
        <f t="shared" ca="1" si="64"/>
        <v>0.01</v>
      </c>
      <c r="B136" s="304">
        <f t="shared" ca="1" si="65"/>
        <v>1.320000000000001</v>
      </c>
      <c r="D136" s="306">
        <f t="shared" ca="1" si="66"/>
        <v>9.6172328316354285</v>
      </c>
      <c r="E136" s="307">
        <f t="shared" ca="1" si="67"/>
        <v>85.72653572627263</v>
      </c>
      <c r="F136" s="304">
        <f t="shared" ca="1" si="68"/>
        <v>86.264303712287528</v>
      </c>
      <c r="G136" s="306">
        <f t="shared" ca="1" si="69"/>
        <v>13.07783607513138</v>
      </c>
      <c r="H136" s="307">
        <f t="shared" ca="1" si="70"/>
        <v>129.81568864243025</v>
      </c>
      <c r="I136" s="304">
        <f t="shared" ca="1" si="71"/>
        <v>130.4727665611349</v>
      </c>
      <c r="J136" s="306">
        <f t="shared" ca="1" si="72"/>
        <v>8.4537544547490384</v>
      </c>
      <c r="K136" s="307">
        <f t="shared" ca="1" si="73"/>
        <v>87.775792578207728</v>
      </c>
      <c r="L136" s="304">
        <f t="shared" ca="1" si="58"/>
        <v>88.181946718779898</v>
      </c>
      <c r="M136" s="306">
        <f t="shared" ca="1" si="74"/>
        <v>1.4703935022143273</v>
      </c>
      <c r="N136" s="304">
        <f t="shared" ca="1" si="75"/>
        <v>84.247341900341027</v>
      </c>
      <c r="P136" s="310">
        <f t="shared" ca="1" si="76"/>
        <v>4</v>
      </c>
      <c r="Q136" s="304">
        <f t="shared" ca="1" si="77"/>
        <v>688.5999999999998</v>
      </c>
      <c r="R136" s="306">
        <f t="shared" ca="1" si="78"/>
        <v>0.34557625694117178</v>
      </c>
      <c r="S136" s="307">
        <f t="shared" ca="1" si="79"/>
        <v>6.6754491641444451</v>
      </c>
      <c r="T136" s="304">
        <f t="shared" ca="1" si="59"/>
        <v>65.486156300257008</v>
      </c>
      <c r="U136" s="311">
        <f t="shared" ca="1" si="60"/>
        <v>0</v>
      </c>
      <c r="V136" s="306">
        <f t="shared" ca="1" si="61"/>
        <v>1.2142944498167858</v>
      </c>
      <c r="W136" s="304">
        <f t="shared" ca="1" si="62"/>
        <v>48.257338584302943</v>
      </c>
      <c r="Y136" s="314" t="str">
        <f t="shared" ca="1" si="80"/>
        <v/>
      </c>
      <c r="Z136" s="315" t="str">
        <f t="shared" ca="1" si="81"/>
        <v/>
      </c>
      <c r="AA136" s="316" t="str">
        <f t="shared" ca="1" si="82"/>
        <v/>
      </c>
      <c r="AC136" s="310" t="e">
        <f t="shared" ca="1" si="83"/>
        <v>#N/A</v>
      </c>
      <c r="AD136" s="323" t="e">
        <f t="shared" ca="1" si="84"/>
        <v>#N/A</v>
      </c>
      <c r="AE136" s="324">
        <f t="shared" ca="1" si="63"/>
        <v>87.775792578207728</v>
      </c>
      <c r="AG136" s="306">
        <f t="shared" ca="1" si="85"/>
        <v>86.258707766810815</v>
      </c>
      <c r="AH136" s="304">
        <f t="shared" ca="1" si="86"/>
        <v>96.019377346008937</v>
      </c>
    </row>
    <row r="137" spans="1:34" x14ac:dyDescent="0.2">
      <c r="A137" s="347">
        <f t="shared" ca="1" si="64"/>
        <v>0.01</v>
      </c>
      <c r="B137" s="304">
        <f t="shared" ca="1" si="65"/>
        <v>1.330000000000001</v>
      </c>
      <c r="D137" s="306">
        <f t="shared" ca="1" si="66"/>
        <v>9.595902149701514</v>
      </c>
      <c r="E137" s="307">
        <f t="shared" ca="1" si="67"/>
        <v>85.442657897867363</v>
      </c>
      <c r="F137" s="304">
        <f t="shared" ca="1" si="68"/>
        <v>85.979818136110538</v>
      </c>
      <c r="G137" s="306">
        <f t="shared" ca="1" si="69"/>
        <v>13.173795096628394</v>
      </c>
      <c r="H137" s="307">
        <f t="shared" ca="1" si="70"/>
        <v>130.67011522140891</v>
      </c>
      <c r="I137" s="304">
        <f t="shared" ca="1" si="71"/>
        <v>131.33250888193766</v>
      </c>
      <c r="J137" s="306">
        <f t="shared" ca="1" si="72"/>
        <v>8.585012610607837</v>
      </c>
      <c r="K137" s="307">
        <f t="shared" ca="1" si="73"/>
        <v>89.07822159752692</v>
      </c>
      <c r="L137" s="304">
        <f t="shared" ca="1" si="58"/>
        <v>89.490960462509321</v>
      </c>
      <c r="M137" s="306">
        <f t="shared" ca="1" si="74"/>
        <v>1.4703186313606387</v>
      </c>
      <c r="N137" s="304">
        <f t="shared" ca="1" si="75"/>
        <v>84.243052116416123</v>
      </c>
      <c r="P137" s="310">
        <f t="shared" ca="1" si="76"/>
        <v>4</v>
      </c>
      <c r="Q137" s="304">
        <f t="shared" ca="1" si="77"/>
        <v>686.99999999999977</v>
      </c>
      <c r="R137" s="306">
        <f t="shared" ca="1" si="78"/>
        <v>0.34477329148792474</v>
      </c>
      <c r="S137" s="307">
        <f t="shared" ca="1" si="79"/>
        <v>6.6720014312295657</v>
      </c>
      <c r="T137" s="304">
        <f t="shared" ca="1" si="59"/>
        <v>65.452334040362047</v>
      </c>
      <c r="U137" s="311">
        <f t="shared" ca="1" si="60"/>
        <v>0</v>
      </c>
      <c r="V137" s="306">
        <f t="shared" ca="1" si="61"/>
        <v>1.2141363037912158</v>
      </c>
      <c r="W137" s="304">
        <f t="shared" ca="1" si="62"/>
        <v>48.88904352814032</v>
      </c>
      <c r="Y137" s="314" t="str">
        <f t="shared" ca="1" si="80"/>
        <v/>
      </c>
      <c r="Z137" s="315" t="str">
        <f t="shared" ca="1" si="81"/>
        <v/>
      </c>
      <c r="AA137" s="316" t="str">
        <f t="shared" ca="1" si="82"/>
        <v/>
      </c>
      <c r="AC137" s="310" t="e">
        <f t="shared" ca="1" si="83"/>
        <v>#N/A</v>
      </c>
      <c r="AD137" s="323" t="e">
        <f t="shared" ca="1" si="84"/>
        <v>#N/A</v>
      </c>
      <c r="AE137" s="324">
        <f t="shared" ca="1" si="63"/>
        <v>89.07822159752692</v>
      </c>
      <c r="AG137" s="306">
        <f t="shared" ca="1" si="85"/>
        <v>85.974195270106463</v>
      </c>
      <c r="AH137" s="304">
        <f t="shared" ca="1" si="86"/>
        <v>95.734790826923515</v>
      </c>
    </row>
    <row r="138" spans="1:34" x14ac:dyDescent="0.2">
      <c r="A138" s="347">
        <f t="shared" ca="1" si="64"/>
        <v>0.01</v>
      </c>
      <c r="B138" s="304">
        <f t="shared" ca="1" si="65"/>
        <v>1.340000000000001</v>
      </c>
      <c r="D138" s="306">
        <f t="shared" ca="1" si="66"/>
        <v>9.5744177249683062</v>
      </c>
      <c r="E138" s="307">
        <f t="shared" ca="1" si="67"/>
        <v>85.158098268030884</v>
      </c>
      <c r="F138" s="304">
        <f t="shared" ca="1" si="68"/>
        <v>85.694639128709753</v>
      </c>
      <c r="G138" s="306">
        <f t="shared" ca="1" si="69"/>
        <v>13.269539273878078</v>
      </c>
      <c r="H138" s="307">
        <f t="shared" ca="1" si="70"/>
        <v>131.52169620408921</v>
      </c>
      <c r="I138" s="304">
        <f t="shared" ca="1" si="71"/>
        <v>132.1893991398014</v>
      </c>
      <c r="J138" s="306">
        <f t="shared" ca="1" si="72"/>
        <v>8.7172292824603694</v>
      </c>
      <c r="K138" s="307">
        <f t="shared" ca="1" si="73"/>
        <v>90.38918065465441</v>
      </c>
      <c r="L138" s="304">
        <f t="shared" ca="1" si="58"/>
        <v>90.808557227734511</v>
      </c>
      <c r="M138" s="306">
        <f t="shared" ca="1" si="74"/>
        <v>1.4702441905587691</v>
      </c>
      <c r="N138" s="304">
        <f t="shared" ca="1" si="75"/>
        <v>84.238786972645428</v>
      </c>
      <c r="P138" s="310">
        <f t="shared" ca="1" si="76"/>
        <v>4</v>
      </c>
      <c r="Q138" s="304">
        <f t="shared" ca="1" si="77"/>
        <v>685.39999999999986</v>
      </c>
      <c r="R138" s="306">
        <f t="shared" ca="1" si="78"/>
        <v>0.34397032603467781</v>
      </c>
      <c r="S138" s="307">
        <f t="shared" ca="1" si="79"/>
        <v>6.6685617279692186</v>
      </c>
      <c r="T138" s="304">
        <f t="shared" ca="1" si="59"/>
        <v>65.418590551378031</v>
      </c>
      <c r="U138" s="311">
        <f t="shared" ca="1" si="60"/>
        <v>0</v>
      </c>
      <c r="V138" s="306">
        <f t="shared" ca="1" si="61"/>
        <v>1.2139771427216981</v>
      </c>
      <c r="W138" s="304">
        <f t="shared" ca="1" si="62"/>
        <v>49.522593524775523</v>
      </c>
      <c r="Y138" s="314" t="str">
        <f t="shared" ca="1" si="80"/>
        <v/>
      </c>
      <c r="Z138" s="315" t="str">
        <f t="shared" ca="1" si="81"/>
        <v/>
      </c>
      <c r="AA138" s="316" t="str">
        <f t="shared" ca="1" si="82"/>
        <v/>
      </c>
      <c r="AC138" s="310" t="e">
        <f t="shared" ca="1" si="83"/>
        <v>#N/A</v>
      </c>
      <c r="AD138" s="323" t="e">
        <f t="shared" ca="1" si="84"/>
        <v>#N/A</v>
      </c>
      <c r="AE138" s="324">
        <f t="shared" ca="1" si="63"/>
        <v>90.38918065465441</v>
      </c>
      <c r="AG138" s="306">
        <f t="shared" ca="1" si="85"/>
        <v>85.688989160441309</v>
      </c>
      <c r="AH138" s="304">
        <f t="shared" ca="1" si="86"/>
        <v>95.449511069562618</v>
      </c>
    </row>
    <row r="139" spans="1:34" x14ac:dyDescent="0.2">
      <c r="A139" s="347">
        <f t="shared" ca="1" si="64"/>
        <v>0.01</v>
      </c>
      <c r="B139" s="304">
        <f t="shared" ca="1" si="65"/>
        <v>1.350000000000001</v>
      </c>
      <c r="D139" s="306">
        <f t="shared" ca="1" si="66"/>
        <v>9.5527811703838577</v>
      </c>
      <c r="E139" s="307">
        <f t="shared" ca="1" si="67"/>
        <v>84.872864044019138</v>
      </c>
      <c r="F139" s="304">
        <f t="shared" ca="1" si="68"/>
        <v>85.408774017215563</v>
      </c>
      <c r="G139" s="306">
        <f t="shared" ca="1" si="69"/>
        <v>13.365067085581916</v>
      </c>
      <c r="H139" s="307">
        <f t="shared" ca="1" si="70"/>
        <v>132.3704248445294</v>
      </c>
      <c r="I139" s="304">
        <f t="shared" ca="1" si="71"/>
        <v>133.04343047187001</v>
      </c>
      <c r="J139" s="306">
        <f t="shared" ca="1" si="72"/>
        <v>8.8504023142576695</v>
      </c>
      <c r="K139" s="307">
        <f t="shared" ca="1" si="73"/>
        <v>91.708641259897504</v>
      </c>
      <c r="L139" s="304">
        <f t="shared" ca="1" si="58"/>
        <v>92.134708459194641</v>
      </c>
      <c r="M139" s="306">
        <f t="shared" ca="1" si="74"/>
        <v>1.4701701729945862</v>
      </c>
      <c r="N139" s="304">
        <f t="shared" ca="1" si="75"/>
        <v>84.234546078607906</v>
      </c>
      <c r="P139" s="310">
        <f t="shared" ca="1" si="76"/>
        <v>4</v>
      </c>
      <c r="Q139" s="304">
        <f t="shared" ca="1" si="77"/>
        <v>683.79999999999984</v>
      </c>
      <c r="R139" s="306">
        <f t="shared" ca="1" si="78"/>
        <v>0.34316736058143082</v>
      </c>
      <c r="S139" s="307">
        <f t="shared" ca="1" si="79"/>
        <v>6.665130054363404</v>
      </c>
      <c r="T139" s="304">
        <f t="shared" ca="1" si="59"/>
        <v>65.38492583330499</v>
      </c>
      <c r="U139" s="311">
        <f t="shared" ca="1" si="60"/>
        <v>0</v>
      </c>
      <c r="V139" s="306">
        <f t="shared" ca="1" si="61"/>
        <v>1.2138169704678408</v>
      </c>
      <c r="W139" s="304">
        <f t="shared" ca="1" si="62"/>
        <v>50.15793959476165</v>
      </c>
      <c r="Y139" s="314" t="str">
        <f t="shared" ca="1" si="80"/>
        <v/>
      </c>
      <c r="Z139" s="315" t="str">
        <f t="shared" ca="1" si="81"/>
        <v/>
      </c>
      <c r="AA139" s="316" t="str">
        <f t="shared" ca="1" si="82"/>
        <v/>
      </c>
      <c r="AC139" s="310" t="e">
        <f t="shared" ca="1" si="83"/>
        <v>#N/A</v>
      </c>
      <c r="AD139" s="323" t="e">
        <f t="shared" ca="1" si="84"/>
        <v>#N/A</v>
      </c>
      <c r="AE139" s="324">
        <f t="shared" ca="1" si="63"/>
        <v>91.708641259897504</v>
      </c>
      <c r="AG139" s="306">
        <f t="shared" ca="1" si="85"/>
        <v>85.40309676227632</v>
      </c>
      <c r="AH139" s="304">
        <f t="shared" ca="1" si="86"/>
        <v>95.16354539248448</v>
      </c>
    </row>
    <row r="140" spans="1:34" x14ac:dyDescent="0.2">
      <c r="A140" s="347">
        <f t="shared" ca="1" si="64"/>
        <v>0.01</v>
      </c>
      <c r="B140" s="304">
        <f t="shared" ca="1" si="65"/>
        <v>1.360000000000001</v>
      </c>
      <c r="D140" s="306">
        <f t="shared" ca="1" si="66"/>
        <v>9.5309940811945069</v>
      </c>
      <c r="E140" s="307">
        <f t="shared" ca="1" si="67"/>
        <v>84.586962442443237</v>
      </c>
      <c r="F140" s="304">
        <f t="shared" ca="1" si="68"/>
        <v>85.122230136522319</v>
      </c>
      <c r="G140" s="306">
        <f t="shared" ca="1" si="69"/>
        <v>13.460377026393861</v>
      </c>
      <c r="H140" s="307">
        <f t="shared" ca="1" si="70"/>
        <v>133.21629446895383</v>
      </c>
      <c r="I140" s="304">
        <f t="shared" ca="1" si="71"/>
        <v>133.89459608860878</v>
      </c>
      <c r="J140" s="306">
        <f t="shared" ca="1" si="72"/>
        <v>8.9845295348175487</v>
      </c>
      <c r="K140" s="307">
        <f t="shared" ca="1" si="73"/>
        <v>93.036574856464924</v>
      </c>
      <c r="L140" s="304">
        <f t="shared" ca="1" si="58"/>
        <v>93.469385533363877</v>
      </c>
      <c r="M140" s="306">
        <f t="shared" ca="1" si="74"/>
        <v>1.4700965720027526</v>
      </c>
      <c r="N140" s="304">
        <f t="shared" ca="1" si="75"/>
        <v>84.230329052407868</v>
      </c>
      <c r="P140" s="310">
        <f t="shared" ca="1" si="76"/>
        <v>4</v>
      </c>
      <c r="Q140" s="304">
        <f t="shared" ca="1" si="77"/>
        <v>682.19999999999982</v>
      </c>
      <c r="R140" s="306">
        <f t="shared" ca="1" si="78"/>
        <v>0.34236439512818384</v>
      </c>
      <c r="S140" s="307">
        <f t="shared" ca="1" si="79"/>
        <v>6.6617064104121217</v>
      </c>
      <c r="T140" s="304">
        <f t="shared" ca="1" si="59"/>
        <v>65.351339886142924</v>
      </c>
      <c r="U140" s="311">
        <f t="shared" ca="1" si="60"/>
        <v>0</v>
      </c>
      <c r="V140" s="306">
        <f t="shared" ca="1" si="61"/>
        <v>1.2136557908980481</v>
      </c>
      <c r="W140" s="304">
        <f t="shared" ca="1" si="62"/>
        <v>50.795032843238047</v>
      </c>
      <c r="Y140" s="314" t="str">
        <f t="shared" ca="1" si="80"/>
        <v/>
      </c>
      <c r="Z140" s="315" t="str">
        <f t="shared" ca="1" si="81"/>
        <v/>
      </c>
      <c r="AA140" s="316" t="str">
        <f t="shared" ca="1" si="82"/>
        <v/>
      </c>
      <c r="AC140" s="310" t="e">
        <f t="shared" ca="1" si="83"/>
        <v>#N/A</v>
      </c>
      <c r="AD140" s="323" t="e">
        <f t="shared" ca="1" si="84"/>
        <v>#N/A</v>
      </c>
      <c r="AE140" s="324">
        <f t="shared" ca="1" si="63"/>
        <v>93.036574856464924</v>
      </c>
      <c r="AG140" s="306">
        <f t="shared" ca="1" si="85"/>
        <v>85.116525407815899</v>
      </c>
      <c r="AH140" s="304">
        <f t="shared" ca="1" si="86"/>
        <v>94.876901122116152</v>
      </c>
    </row>
    <row r="141" spans="1:34" x14ac:dyDescent="0.2">
      <c r="A141" s="347">
        <f t="shared" ca="1" si="64"/>
        <v>0.01</v>
      </c>
      <c r="B141" s="304">
        <f t="shared" ca="1" si="65"/>
        <v>1.370000000000001</v>
      </c>
      <c r="D141" s="306">
        <f t="shared" ca="1" si="66"/>
        <v>9.5090580354600309</v>
      </c>
      <c r="E141" s="307">
        <f t="shared" ca="1" si="67"/>
        <v>84.300400688649177</v>
      </c>
      <c r="F141" s="304">
        <f t="shared" ca="1" si="68"/>
        <v>84.83501482871651</v>
      </c>
      <c r="G141" s="306">
        <f t="shared" ca="1" si="69"/>
        <v>13.555467606748461</v>
      </c>
      <c r="H141" s="307">
        <f t="shared" ca="1" si="70"/>
        <v>134.05929847584034</v>
      </c>
      <c r="I141" s="304">
        <f t="shared" ca="1" si="71"/>
        <v>134.74288927387619</v>
      </c>
      <c r="J141" s="306">
        <f t="shared" ca="1" si="72"/>
        <v>9.1196087579832597</v>
      </c>
      <c r="K141" s="307">
        <f t="shared" ca="1" si="73"/>
        <v>94.372952821188889</v>
      </c>
      <c r="L141" s="304">
        <f t="shared" ca="1" si="58"/>
        <v>94.812559759185021</v>
      </c>
      <c r="M141" s="306">
        <f t="shared" ca="1" si="74"/>
        <v>1.4700233810623402</v>
      </c>
      <c r="N141" s="304">
        <f t="shared" ca="1" si="75"/>
        <v>84.226135520423639</v>
      </c>
      <c r="P141" s="310">
        <f t="shared" ca="1" si="76"/>
        <v>4</v>
      </c>
      <c r="Q141" s="304">
        <f t="shared" ca="1" si="77"/>
        <v>680.5999999999998</v>
      </c>
      <c r="R141" s="306">
        <f t="shared" ca="1" si="78"/>
        <v>0.34156142967493686</v>
      </c>
      <c r="S141" s="307">
        <f t="shared" ca="1" si="79"/>
        <v>6.6582907961153728</v>
      </c>
      <c r="T141" s="304">
        <f t="shared" ca="1" si="59"/>
        <v>65.317832709891803</v>
      </c>
      <c r="U141" s="311">
        <f t="shared" ca="1" si="60"/>
        <v>0</v>
      </c>
      <c r="V141" s="306">
        <f t="shared" ca="1" si="61"/>
        <v>1.2134936078893945</v>
      </c>
      <c r="W141" s="304">
        <f t="shared" ca="1" si="62"/>
        <v>51.433824463288595</v>
      </c>
      <c r="Y141" s="314" t="str">
        <f t="shared" ca="1" si="80"/>
        <v/>
      </c>
      <c r="Z141" s="315" t="str">
        <f t="shared" ca="1" si="81"/>
        <v/>
      </c>
      <c r="AA141" s="316" t="str">
        <f t="shared" ca="1" si="82"/>
        <v/>
      </c>
      <c r="AC141" s="310" t="e">
        <f t="shared" ca="1" si="83"/>
        <v>#N/A</v>
      </c>
      <c r="AD141" s="323" t="e">
        <f t="shared" ca="1" si="84"/>
        <v>#N/A</v>
      </c>
      <c r="AE141" s="324">
        <f t="shared" ca="1" si="63"/>
        <v>94.372952821188889</v>
      </c>
      <c r="AG141" s="306">
        <f t="shared" ca="1" si="85"/>
        <v>84.829282436435449</v>
      </c>
      <c r="AH141" s="304">
        <f t="shared" ca="1" si="86"/>
        <v>94.589585592177357</v>
      </c>
    </row>
    <row r="142" spans="1:34" x14ac:dyDescent="0.2">
      <c r="A142" s="347">
        <f t="shared" ca="1" si="64"/>
        <v>0.01</v>
      </c>
      <c r="B142" s="304">
        <f t="shared" ca="1" si="65"/>
        <v>1.380000000000001</v>
      </c>
      <c r="D142" s="306">
        <f t="shared" ca="1" si="66"/>
        <v>9.486974594547787</v>
      </c>
      <c r="E142" s="307">
        <f t="shared" ca="1" si="67"/>
        <v>84.013186016101201</v>
      </c>
      <c r="F142" s="304">
        <f t="shared" ca="1" si="68"/>
        <v>84.547135442506956</v>
      </c>
      <c r="G142" s="306">
        <f t="shared" ca="1" si="69"/>
        <v>13.650337352693938</v>
      </c>
      <c r="H142" s="307">
        <f t="shared" ca="1" si="70"/>
        <v>134.89943033600136</v>
      </c>
      <c r="I142" s="304">
        <f t="shared" ca="1" si="71"/>
        <v>135.58830338498979</v>
      </c>
      <c r="J142" s="306">
        <f t="shared" ca="1" si="72"/>
        <v>9.2556377827804717</v>
      </c>
      <c r="K142" s="307">
        <f t="shared" ca="1" si="73"/>
        <v>95.717746465248098</v>
      </c>
      <c r="L142" s="304">
        <f t="shared" ca="1" si="58"/>
        <v>96.164202378803864</v>
      </c>
      <c r="M142" s="306">
        <f t="shared" ca="1" si="74"/>
        <v>1.4699505937926083</v>
      </c>
      <c r="N142" s="304">
        <f t="shared" ca="1" si="75"/>
        <v>84.221965117065722</v>
      </c>
      <c r="P142" s="310">
        <f t="shared" ca="1" si="76"/>
        <v>4</v>
      </c>
      <c r="Q142" s="304">
        <f t="shared" ca="1" si="77"/>
        <v>678.99999999999977</v>
      </c>
      <c r="R142" s="306">
        <f t="shared" ca="1" si="78"/>
        <v>0.34075846422168982</v>
      </c>
      <c r="S142" s="307">
        <f t="shared" ca="1" si="79"/>
        <v>6.6548832114731562</v>
      </c>
      <c r="T142" s="304">
        <f t="shared" ca="1" si="59"/>
        <v>65.284404304551671</v>
      </c>
      <c r="U142" s="311">
        <f t="shared" ca="1" si="60"/>
        <v>0</v>
      </c>
      <c r="V142" s="306">
        <f t="shared" ca="1" si="61"/>
        <v>1.2133304253275001</v>
      </c>
      <c r="W142" s="304">
        <f t="shared" ca="1" si="62"/>
        <v>52.074265739276044</v>
      </c>
      <c r="Y142" s="314" t="str">
        <f t="shared" ca="1" si="80"/>
        <v/>
      </c>
      <c r="Z142" s="315" t="str">
        <f t="shared" ca="1" si="81"/>
        <v/>
      </c>
      <c r="AA142" s="316" t="str">
        <f t="shared" ca="1" si="82"/>
        <v/>
      </c>
      <c r="AC142" s="310" t="e">
        <f t="shared" ca="1" si="83"/>
        <v>#N/A</v>
      </c>
      <c r="AD142" s="323" t="e">
        <f t="shared" ca="1" si="84"/>
        <v>#N/A</v>
      </c>
      <c r="AE142" s="324">
        <f t="shared" ca="1" si="63"/>
        <v>95.717746465248098</v>
      </c>
      <c r="AG142" s="306">
        <f t="shared" ca="1" si="85"/>
        <v>84.541375194110429</v>
      </c>
      <c r="AH142" s="304">
        <f t="shared" ca="1" si="86"/>
        <v>94.301606143106184</v>
      </c>
    </row>
    <row r="143" spans="1:34" x14ac:dyDescent="0.2">
      <c r="A143" s="347">
        <f t="shared" ca="1" si="64"/>
        <v>0.01</v>
      </c>
      <c r="B143" s="304">
        <f t="shared" ca="1" si="65"/>
        <v>1.390000000000001</v>
      </c>
      <c r="D143" s="306">
        <f t="shared" ca="1" si="66"/>
        <v>9.4647453036062767</v>
      </c>
      <c r="E143" s="307">
        <f t="shared" ca="1" si="67"/>
        <v>83.725325665768423</v>
      </c>
      <c r="F143" s="304">
        <f t="shared" ca="1" si="68"/>
        <v>84.258599332656345</v>
      </c>
      <c r="G143" s="306">
        <f t="shared" ca="1" si="69"/>
        <v>13.744984805730001</v>
      </c>
      <c r="H143" s="307">
        <f t="shared" ca="1" si="70"/>
        <v>135.73668359265903</v>
      </c>
      <c r="I143" s="304">
        <f t="shared" ca="1" si="71"/>
        <v>136.43083185278678</v>
      </c>
      <c r="J143" s="306">
        <f t="shared" ca="1" si="72"/>
        <v>9.3926143935725914</v>
      </c>
      <c r="K143" s="307">
        <f t="shared" ca="1" si="73"/>
        <v>97.070927034891398</v>
      </c>
      <c r="L143" s="304">
        <f t="shared" ca="1" si="58"/>
        <v>97.524284568304097</v>
      </c>
      <c r="M143" s="306">
        <f t="shared" ca="1" si="74"/>
        <v>1.4698782039489324</v>
      </c>
      <c r="N143" s="304">
        <f t="shared" ca="1" si="75"/>
        <v>84.217817484543488</v>
      </c>
      <c r="P143" s="310">
        <f t="shared" ca="1" si="76"/>
        <v>4</v>
      </c>
      <c r="Q143" s="304">
        <f t="shared" ca="1" si="77"/>
        <v>677.39999999999986</v>
      </c>
      <c r="R143" s="306">
        <f t="shared" ca="1" si="78"/>
        <v>0.33995549876844289</v>
      </c>
      <c r="S143" s="307">
        <f t="shared" ca="1" si="79"/>
        <v>6.651483656485472</v>
      </c>
      <c r="T143" s="304">
        <f t="shared" ca="1" si="59"/>
        <v>65.251054670122485</v>
      </c>
      <c r="U143" s="311">
        <f t="shared" ca="1" si="60"/>
        <v>0</v>
      </c>
      <c r="V143" s="306">
        <f t="shared" ca="1" si="61"/>
        <v>1.21316624710641</v>
      </c>
      <c r="W143" s="304">
        <f t="shared" ca="1" si="62"/>
        <v>52.716308050152733</v>
      </c>
      <c r="Y143" s="314" t="str">
        <f t="shared" ca="1" si="80"/>
        <v/>
      </c>
      <c r="Z143" s="315" t="str">
        <f t="shared" ca="1" si="81"/>
        <v/>
      </c>
      <c r="AA143" s="316" t="str">
        <f t="shared" ca="1" si="82"/>
        <v/>
      </c>
      <c r="AC143" s="310" t="e">
        <f t="shared" ca="1" si="83"/>
        <v>#N/A</v>
      </c>
      <c r="AD143" s="323" t="e">
        <f t="shared" ca="1" si="84"/>
        <v>#N/A</v>
      </c>
      <c r="AE143" s="324">
        <f t="shared" ca="1" si="63"/>
        <v>97.070927034891398</v>
      </c>
      <c r="AG143" s="306">
        <f t="shared" ca="1" si="85"/>
        <v>84.252811032847234</v>
      </c>
      <c r="AH143" s="304">
        <f t="shared" ca="1" si="86"/>
        <v>94.012970121486404</v>
      </c>
    </row>
    <row r="144" spans="1:34" x14ac:dyDescent="0.2">
      <c r="A144" s="347">
        <f t="shared" ca="1" si="64"/>
        <v>0.01</v>
      </c>
      <c r="B144" s="304">
        <f t="shared" ca="1" si="65"/>
        <v>1.400000000000001</v>
      </c>
      <c r="D144" s="306">
        <f t="shared" ca="1" si="66"/>
        <v>9.4423716920195417</v>
      </c>
      <c r="E144" s="307">
        <f t="shared" ca="1" si="67"/>
        <v>83.436826885514719</v>
      </c>
      <c r="F144" s="304">
        <f t="shared" ca="1" si="68"/>
        <v>83.969413859414331</v>
      </c>
      <c r="G144" s="306">
        <f t="shared" ca="1" si="69"/>
        <v>13.839408522650196</v>
      </c>
      <c r="H144" s="307">
        <f t="shared" ca="1" si="70"/>
        <v>136.57105186151418</v>
      </c>
      <c r="I144" s="304">
        <f t="shared" ca="1" si="71"/>
        <v>137.27046818167847</v>
      </c>
      <c r="J144" s="306">
        <f t="shared" ca="1" si="72"/>
        <v>9.5305363602144926</v>
      </c>
      <c r="K144" s="307">
        <f t="shared" ca="1" si="73"/>
        <v>98.432465712162269</v>
      </c>
      <c r="L144" s="304">
        <f t="shared" ca="1" si="58"/>
        <v>98.892777438442749</v>
      </c>
      <c r="M144" s="306">
        <f t="shared" ca="1" si="74"/>
        <v>1.469806205418883</v>
      </c>
      <c r="N144" s="304">
        <f t="shared" ca="1" si="75"/>
        <v>84.2136922726405</v>
      </c>
      <c r="P144" s="310">
        <f t="shared" ca="1" si="76"/>
        <v>4</v>
      </c>
      <c r="Q144" s="304">
        <f t="shared" ca="1" si="77"/>
        <v>675.79999999999984</v>
      </c>
      <c r="R144" s="306">
        <f t="shared" ca="1" si="78"/>
        <v>0.3391525333151959</v>
      </c>
      <c r="S144" s="307">
        <f t="shared" ca="1" si="79"/>
        <v>6.6480921311523202</v>
      </c>
      <c r="T144" s="304">
        <f t="shared" ca="1" si="59"/>
        <v>65.21778380660426</v>
      </c>
      <c r="U144" s="311">
        <f t="shared" ca="1" si="60"/>
        <v>0</v>
      </c>
      <c r="V144" s="306">
        <f t="shared" ca="1" si="61"/>
        <v>1.2130010771284672</v>
      </c>
      <c r="W144" s="304">
        <f t="shared" ca="1" si="62"/>
        <v>53.359902872745913</v>
      </c>
      <c r="Y144" s="314" t="str">
        <f t="shared" ca="1" si="80"/>
        <v/>
      </c>
      <c r="Z144" s="315" t="str">
        <f t="shared" ca="1" si="81"/>
        <v/>
      </c>
      <c r="AA144" s="316" t="str">
        <f t="shared" ca="1" si="82"/>
        <v/>
      </c>
      <c r="AC144" s="310" t="e">
        <f t="shared" ca="1" si="83"/>
        <v>#N/A</v>
      </c>
      <c r="AD144" s="323" t="e">
        <f t="shared" ca="1" si="84"/>
        <v>#N/A</v>
      </c>
      <c r="AE144" s="324">
        <f t="shared" ca="1" si="63"/>
        <v>98.432465712162269</v>
      </c>
      <c r="AG144" s="306">
        <f t="shared" ca="1" si="85"/>
        <v>83.963597310115304</v>
      </c>
      <c r="AH144" s="304">
        <f t="shared" ca="1" si="86"/>
        <v>93.723684879476451</v>
      </c>
    </row>
    <row r="145" spans="1:34" x14ac:dyDescent="0.2">
      <c r="A145" s="347">
        <f t="shared" ca="1" si="64"/>
        <v>0.01</v>
      </c>
      <c r="B145" s="304">
        <f t="shared" ca="1" si="65"/>
        <v>1.410000000000001</v>
      </c>
      <c r="D145" s="306">
        <f t="shared" ca="1" si="66"/>
        <v>9.4198552738428187</v>
      </c>
      <c r="E145" s="307">
        <f t="shared" ca="1" si="67"/>
        <v>83.147696929492085</v>
      </c>
      <c r="F145" s="304">
        <f t="shared" ca="1" si="68"/>
        <v>83.67958638795254</v>
      </c>
      <c r="G145" s="306">
        <f t="shared" ca="1" si="69"/>
        <v>13.933607075388624</v>
      </c>
      <c r="H145" s="307">
        <f t="shared" ca="1" si="70"/>
        <v>137.4025288308091</v>
      </c>
      <c r="I145" s="304">
        <f t="shared" ca="1" si="71"/>
        <v>138.10720594969928</v>
      </c>
      <c r="J145" s="306">
        <f t="shared" ca="1" si="72"/>
        <v>9.6694014382046873</v>
      </c>
      <c r="K145" s="307">
        <f t="shared" ca="1" si="73"/>
        <v>99.80233361562388</v>
      </c>
      <c r="L145" s="304">
        <f t="shared" ca="1" si="58"/>
        <v>100.26965203538627</v>
      </c>
      <c r="M145" s="306">
        <f t="shared" ca="1" si="74"/>
        <v>1.4697345922184406</v>
      </c>
      <c r="N145" s="304">
        <f t="shared" ca="1" si="75"/>
        <v>84.209589138497734</v>
      </c>
      <c r="P145" s="310">
        <f t="shared" ca="1" si="76"/>
        <v>4</v>
      </c>
      <c r="Q145" s="304">
        <f t="shared" ca="1" si="77"/>
        <v>674.19999999999982</v>
      </c>
      <c r="R145" s="306">
        <f t="shared" ca="1" si="78"/>
        <v>0.33834956786194892</v>
      </c>
      <c r="S145" s="307">
        <f t="shared" ca="1" si="79"/>
        <v>6.6447086354737008</v>
      </c>
      <c r="T145" s="304">
        <f t="shared" ca="1" si="59"/>
        <v>65.184591713997008</v>
      </c>
      <c r="U145" s="311">
        <f t="shared" ca="1" si="60"/>
        <v>0</v>
      </c>
      <c r="V145" s="306">
        <f t="shared" ca="1" si="61"/>
        <v>1.2128349193041892</v>
      </c>
      <c r="W145" s="304">
        <f t="shared" ca="1" si="62"/>
        <v>54.005001785018642</v>
      </c>
      <c r="Y145" s="314" t="str">
        <f t="shared" ca="1" si="80"/>
        <v/>
      </c>
      <c r="Z145" s="315" t="str">
        <f t="shared" ca="1" si="81"/>
        <v/>
      </c>
      <c r="AA145" s="316" t="str">
        <f t="shared" ca="1" si="82"/>
        <v/>
      </c>
      <c r="AC145" s="310" t="e">
        <f t="shared" ca="1" si="83"/>
        <v>#N/A</v>
      </c>
      <c r="AD145" s="323" t="e">
        <f t="shared" ca="1" si="84"/>
        <v>#N/A</v>
      </c>
      <c r="AE145" s="324">
        <f t="shared" ca="1" si="63"/>
        <v>99.80233361562388</v>
      </c>
      <c r="AG145" s="306">
        <f t="shared" ca="1" si="85"/>
        <v>83.673741388281442</v>
      </c>
      <c r="AH145" s="304">
        <f t="shared" ca="1" si="86"/>
        <v>93.433757774240505</v>
      </c>
    </row>
    <row r="146" spans="1:34" x14ac:dyDescent="0.2">
      <c r="A146" s="347">
        <f t="shared" ca="1" si="64"/>
        <v>0.01</v>
      </c>
      <c r="B146" s="304">
        <f t="shared" ca="1" si="65"/>
        <v>1.420000000000001</v>
      </c>
      <c r="D146" s="306">
        <f t="shared" ca="1" si="66"/>
        <v>9.3971975482207668</v>
      </c>
      <c r="E146" s="307">
        <f t="shared" ca="1" si="67"/>
        <v>82.857943057537298</v>
      </c>
      <c r="F146" s="304">
        <f t="shared" ca="1" si="68"/>
        <v>83.389124287801337</v>
      </c>
      <c r="G146" s="306">
        <f t="shared" ca="1" si="69"/>
        <v>14.02757905087083</v>
      </c>
      <c r="H146" s="307">
        <f t="shared" ca="1" si="70"/>
        <v>138.23110826138446</v>
      </c>
      <c r="I146" s="304">
        <f t="shared" ca="1" si="71"/>
        <v>138.9410388085501</v>
      </c>
      <c r="J146" s="306">
        <f t="shared" ca="1" si="72"/>
        <v>9.8092073688359847</v>
      </c>
      <c r="K146" s="307">
        <f t="shared" ca="1" si="73"/>
        <v>101.18050180108484</v>
      </c>
      <c r="L146" s="304">
        <f t="shared" ca="1" si="58"/>
        <v>101.65487934144706</v>
      </c>
      <c r="M146" s="306">
        <f t="shared" ca="1" si="74"/>
        <v>1.4696633584883512</v>
      </c>
      <c r="N146" s="304">
        <f t="shared" ca="1" si="75"/>
        <v>84.205507746404635</v>
      </c>
      <c r="P146" s="310">
        <f t="shared" ca="1" si="76"/>
        <v>4</v>
      </c>
      <c r="Q146" s="304">
        <f t="shared" ca="1" si="77"/>
        <v>672.5999999999998</v>
      </c>
      <c r="R146" s="306">
        <f t="shared" ca="1" si="78"/>
        <v>0.33754660240870188</v>
      </c>
      <c r="S146" s="307">
        <f t="shared" ca="1" si="79"/>
        <v>6.6413331694496138</v>
      </c>
      <c r="T146" s="304">
        <f t="shared" ca="1" si="59"/>
        <v>65.151478392300717</v>
      </c>
      <c r="U146" s="311">
        <f t="shared" ca="1" si="60"/>
        <v>0</v>
      </c>
      <c r="V146" s="306">
        <f t="shared" ca="1" si="61"/>
        <v>1.2126677775521471</v>
      </c>
      <c r="W146" s="304">
        <f t="shared" ca="1" si="62"/>
        <v>54.65155646930549</v>
      </c>
      <c r="Y146" s="314" t="str">
        <f t="shared" ca="1" si="80"/>
        <v/>
      </c>
      <c r="Z146" s="315" t="str">
        <f t="shared" ca="1" si="81"/>
        <v/>
      </c>
      <c r="AA146" s="316" t="str">
        <f t="shared" ca="1" si="82"/>
        <v/>
      </c>
      <c r="AC146" s="310" t="e">
        <f t="shared" ca="1" si="83"/>
        <v>#N/A</v>
      </c>
      <c r="AD146" s="323" t="e">
        <f t="shared" ca="1" si="84"/>
        <v>#N/A</v>
      </c>
      <c r="AE146" s="324">
        <f t="shared" ca="1" si="63"/>
        <v>101.18050180108484</v>
      </c>
      <c r="AG146" s="306">
        <f t="shared" ca="1" si="85"/>
        <v>83.383250634045567</v>
      </c>
      <c r="AH146" s="304">
        <f t="shared" ca="1" si="86"/>
        <v>93.143196167381234</v>
      </c>
    </row>
    <row r="147" spans="1:34" x14ac:dyDescent="0.2">
      <c r="A147" s="347">
        <f t="shared" ca="1" si="64"/>
        <v>0.01</v>
      </c>
      <c r="B147" s="304">
        <f t="shared" ca="1" si="65"/>
        <v>1.430000000000001</v>
      </c>
      <c r="D147" s="306">
        <f t="shared" ca="1" si="66"/>
        <v>9.3743999997883254</v>
      </c>
      <c r="E147" s="307">
        <f t="shared" ca="1" si="67"/>
        <v>82.567572534571923</v>
      </c>
      <c r="F147" s="304">
        <f t="shared" ca="1" si="68"/>
        <v>83.098034932288428</v>
      </c>
      <c r="G147" s="306">
        <f t="shared" ca="1" si="69"/>
        <v>14.121323050868714</v>
      </c>
      <c r="H147" s="307">
        <f t="shared" ca="1" si="70"/>
        <v>139.05678398673018</v>
      </c>
      <c r="I147" s="304">
        <f t="shared" ca="1" si="71"/>
        <v>139.77196048363612</v>
      </c>
      <c r="J147" s="306">
        <f t="shared" ca="1" si="72"/>
        <v>9.9499518793446828</v>
      </c>
      <c r="K147" s="307">
        <f t="shared" ca="1" si="73"/>
        <v>102.56694126232541</v>
      </c>
      <c r="L147" s="304">
        <f t="shared" ca="1" si="58"/>
        <v>103.04843027582024</v>
      </c>
      <c r="M147" s="306">
        <f t="shared" ca="1" si="74"/>
        <v>1.4695924984906048</v>
      </c>
      <c r="N147" s="304">
        <f t="shared" ca="1" si="75"/>
        <v>84.201447767597458</v>
      </c>
      <c r="P147" s="310">
        <f t="shared" ca="1" si="76"/>
        <v>4</v>
      </c>
      <c r="Q147" s="304">
        <f t="shared" ca="1" si="77"/>
        <v>670.99999999999977</v>
      </c>
      <c r="R147" s="306">
        <f t="shared" ca="1" si="78"/>
        <v>0.33674363695545489</v>
      </c>
      <c r="S147" s="307">
        <f t="shared" ca="1" si="79"/>
        <v>6.6379657330800592</v>
      </c>
      <c r="T147" s="304">
        <f t="shared" ca="1" si="59"/>
        <v>65.118443841515386</v>
      </c>
      <c r="U147" s="311">
        <f t="shared" ca="1" si="60"/>
        <v>0</v>
      </c>
      <c r="V147" s="306">
        <f t="shared" ca="1" si="61"/>
        <v>1.2124996557988372</v>
      </c>
      <c r="W147" s="304">
        <f t="shared" ca="1" si="62"/>
        <v>55.299518715522488</v>
      </c>
      <c r="Y147" s="314" t="str">
        <f t="shared" ca="1" si="80"/>
        <v/>
      </c>
      <c r="Z147" s="315" t="str">
        <f t="shared" ca="1" si="81"/>
        <v/>
      </c>
      <c r="AA147" s="316" t="str">
        <f t="shared" ca="1" si="82"/>
        <v/>
      </c>
      <c r="AC147" s="310" t="e">
        <f t="shared" ca="1" si="83"/>
        <v>#N/A</v>
      </c>
      <c r="AD147" s="323" t="e">
        <f t="shared" ca="1" si="84"/>
        <v>#N/A</v>
      </c>
      <c r="AE147" s="324">
        <f t="shared" ca="1" si="63"/>
        <v>102.56694126232541</v>
      </c>
      <c r="AG147" s="306">
        <f t="shared" ca="1" si="85"/>
        <v>83.092132417878517</v>
      </c>
      <c r="AH147" s="304">
        <f t="shared" ca="1" si="86"/>
        <v>92.852007424374676</v>
      </c>
    </row>
    <row r="148" spans="1:34" x14ac:dyDescent="0.2">
      <c r="A148" s="347">
        <f t="shared" ca="1" si="64"/>
        <v>0.01</v>
      </c>
      <c r="B148" s="304">
        <f t="shared" ca="1" si="65"/>
        <v>1.4400000000000011</v>
      </c>
      <c r="D148" s="306">
        <f t="shared" ca="1" si="66"/>
        <v>9.3514640990557343</v>
      </c>
      <c r="E148" s="307">
        <f t="shared" ca="1" si="67"/>
        <v>82.276592630005709</v>
      </c>
      <c r="F148" s="304">
        <f t="shared" ca="1" si="68"/>
        <v>82.806325697979361</v>
      </c>
      <c r="G148" s="306">
        <f t="shared" ca="1" si="69"/>
        <v>14.214837691859271</v>
      </c>
      <c r="H148" s="307">
        <f t="shared" ca="1" si="70"/>
        <v>139.87954991303025</v>
      </c>
      <c r="I148" s="304">
        <f t="shared" ca="1" si="71"/>
        <v>140.59996477409879</v>
      </c>
      <c r="J148" s="306">
        <f t="shared" ca="1" si="72"/>
        <v>10.091632683058323</v>
      </c>
      <c r="K148" s="307">
        <f t="shared" ca="1" si="73"/>
        <v>103.96162293182422</v>
      </c>
      <c r="L148" s="304">
        <f t="shared" ca="1" si="58"/>
        <v>104.45027569532103</v>
      </c>
      <c r="M148" s="306">
        <f t="shared" ca="1" si="74"/>
        <v>1.4695220066050407</v>
      </c>
      <c r="N148" s="304">
        <f t="shared" ca="1" si="75"/>
        <v>84.197408880064714</v>
      </c>
      <c r="P148" s="310">
        <f t="shared" ca="1" si="76"/>
        <v>4</v>
      </c>
      <c r="Q148" s="304">
        <f t="shared" ca="1" si="77"/>
        <v>669.39999999999986</v>
      </c>
      <c r="R148" s="306">
        <f t="shared" ca="1" si="78"/>
        <v>0.33594067150220797</v>
      </c>
      <c r="S148" s="307">
        <f t="shared" ca="1" si="79"/>
        <v>6.634606326365037</v>
      </c>
      <c r="T148" s="304">
        <f t="shared" ca="1" si="59"/>
        <v>65.085488061641016</v>
      </c>
      <c r="U148" s="311">
        <f t="shared" ca="1" si="60"/>
        <v>0</v>
      </c>
      <c r="V148" s="306">
        <f t="shared" ca="1" si="61"/>
        <v>1.212330557978561</v>
      </c>
      <c r="W148" s="304">
        <f t="shared" ca="1" si="62"/>
        <v>55.948840424351417</v>
      </c>
      <c r="Y148" s="314" t="str">
        <f t="shared" ca="1" si="80"/>
        <v/>
      </c>
      <c r="Z148" s="315" t="str">
        <f t="shared" ca="1" si="81"/>
        <v/>
      </c>
      <c r="AA148" s="316" t="str">
        <f t="shared" ca="1" si="82"/>
        <v/>
      </c>
      <c r="AC148" s="310" t="e">
        <f t="shared" ca="1" si="83"/>
        <v>#N/A</v>
      </c>
      <c r="AD148" s="323" t="e">
        <f t="shared" ca="1" si="84"/>
        <v>#N/A</v>
      </c>
      <c r="AE148" s="324">
        <f t="shared" ca="1" si="63"/>
        <v>103.96162293182422</v>
      </c>
      <c r="AG148" s="306">
        <f t="shared" ca="1" si="85"/>
        <v>82.800394113461721</v>
      </c>
      <c r="AH148" s="304">
        <f t="shared" ca="1" si="86"/>
        <v>92.560198914007046</v>
      </c>
    </row>
    <row r="149" spans="1:34" x14ac:dyDescent="0.2">
      <c r="A149" s="347">
        <f t="shared" ca="1" si="64"/>
        <v>0.01</v>
      </c>
      <c r="B149" s="304">
        <f t="shared" ca="1" si="65"/>
        <v>1.4500000000000011</v>
      </c>
      <c r="D149" s="306">
        <f t="shared" ca="1" si="66"/>
        <v>9.3283913027778542</v>
      </c>
      <c r="E149" s="307">
        <f t="shared" ca="1" si="67"/>
        <v>81.985010617143374</v>
      </c>
      <c r="F149" s="304">
        <f t="shared" ca="1" si="68"/>
        <v>82.514003964120249</v>
      </c>
      <c r="G149" s="306">
        <f t="shared" ca="1" si="69"/>
        <v>14.308121604887051</v>
      </c>
      <c r="H149" s="307">
        <f t="shared" ca="1" si="70"/>
        <v>140.69940001920168</v>
      </c>
      <c r="I149" s="304">
        <f t="shared" ca="1" si="71"/>
        <v>141.42504555284245</v>
      </c>
      <c r="J149" s="306">
        <f t="shared" ca="1" si="72"/>
        <v>10.234247479542056</v>
      </c>
      <c r="K149" s="307">
        <f t="shared" ca="1" si="73"/>
        <v>105.36451768148538</v>
      </c>
      <c r="L149" s="304">
        <f t="shared" ca="1" si="58"/>
        <v>105.86038639512212</v>
      </c>
      <c r="M149" s="306">
        <f t="shared" ca="1" si="74"/>
        <v>1.4694518773260712</v>
      </c>
      <c r="N149" s="304">
        <f t="shared" ca="1" si="75"/>
        <v>84.193390768359464</v>
      </c>
      <c r="P149" s="310">
        <f t="shared" ca="1" si="76"/>
        <v>4</v>
      </c>
      <c r="Q149" s="304">
        <f t="shared" ca="1" si="77"/>
        <v>667.79999999999984</v>
      </c>
      <c r="R149" s="306">
        <f t="shared" ca="1" si="78"/>
        <v>0.33513770604896098</v>
      </c>
      <c r="S149" s="307">
        <f t="shared" ca="1" si="79"/>
        <v>6.6312549493045472</v>
      </c>
      <c r="T149" s="304">
        <f t="shared" ca="1" si="59"/>
        <v>65.052611052677605</v>
      </c>
      <c r="U149" s="311">
        <f t="shared" ca="1" si="60"/>
        <v>0</v>
      </c>
      <c r="V149" s="306">
        <f t="shared" ca="1" si="61"/>
        <v>1.2121604880332999</v>
      </c>
      <c r="W149" s="304">
        <f t="shared" ca="1" si="62"/>
        <v>56.599473610397823</v>
      </c>
      <c r="Y149" s="314" t="str">
        <f t="shared" ca="1" si="80"/>
        <v/>
      </c>
      <c r="Z149" s="315" t="str">
        <f t="shared" ca="1" si="81"/>
        <v/>
      </c>
      <c r="AA149" s="316" t="str">
        <f t="shared" ca="1" si="82"/>
        <v/>
      </c>
      <c r="AC149" s="310" t="e">
        <f t="shared" ca="1" si="83"/>
        <v>#N/A</v>
      </c>
      <c r="AD149" s="323" t="e">
        <f t="shared" ca="1" si="84"/>
        <v>#N/A</v>
      </c>
      <c r="AE149" s="324">
        <f t="shared" ca="1" si="63"/>
        <v>105.36451768148538</v>
      </c>
      <c r="AG149" s="306">
        <f t="shared" ca="1" si="85"/>
        <v>82.508043097128976</v>
      </c>
      <c r="AH149" s="304">
        <f t="shared" ca="1" si="86"/>
        <v>92.267778007813789</v>
      </c>
    </row>
    <row r="150" spans="1:34" x14ac:dyDescent="0.2">
      <c r="A150" s="347">
        <f t="shared" ca="1" si="64"/>
        <v>0.01</v>
      </c>
      <c r="B150" s="304">
        <f t="shared" ca="1" si="65"/>
        <v>1.4600000000000011</v>
      </c>
      <c r="D150" s="306">
        <f t="shared" ca="1" si="66"/>
        <v>9.3051830543085163</v>
      </c>
      <c r="E150" s="307">
        <f t="shared" ca="1" si="67"/>
        <v>81.69283377259481</v>
      </c>
      <c r="F150" s="304">
        <f t="shared" ca="1" si="68"/>
        <v>82.221077112082384</v>
      </c>
      <c r="G150" s="306">
        <f t="shared" ca="1" si="69"/>
        <v>14.401173435430136</v>
      </c>
      <c r="H150" s="307">
        <f t="shared" ca="1" si="70"/>
        <v>141.51632835692763</v>
      </c>
      <c r="I150" s="304">
        <f t="shared" ca="1" si="71"/>
        <v>142.24719676655528</v>
      </c>
      <c r="J150" s="306">
        <f t="shared" ca="1" si="72"/>
        <v>10.377793954743641</v>
      </c>
      <c r="K150" s="307">
        <f t="shared" ca="1" si="73"/>
        <v>106.77559632336603</v>
      </c>
      <c r="L150" s="304">
        <f t="shared" ca="1" si="58"/>
        <v>107.27873310949161</v>
      </c>
      <c r="M150" s="306">
        <f t="shared" ca="1" si="74"/>
        <v>1.4693821052595155</v>
      </c>
      <c r="N150" s="304">
        <f t="shared" ca="1" si="75"/>
        <v>84.189393123417929</v>
      </c>
      <c r="P150" s="310">
        <f t="shared" ca="1" si="76"/>
        <v>4</v>
      </c>
      <c r="Q150" s="304">
        <f t="shared" ca="1" si="77"/>
        <v>666.19999999999982</v>
      </c>
      <c r="R150" s="306">
        <f t="shared" ca="1" si="78"/>
        <v>0.33433474059571394</v>
      </c>
      <c r="S150" s="307">
        <f t="shared" ca="1" si="79"/>
        <v>6.6279116018985897</v>
      </c>
      <c r="T150" s="304">
        <f t="shared" ca="1" si="59"/>
        <v>65.019812814625169</v>
      </c>
      <c r="U150" s="311">
        <f t="shared" ca="1" si="60"/>
        <v>0</v>
      </c>
      <c r="V150" s="306">
        <f t="shared" ca="1" si="61"/>
        <v>1.2119894499125918</v>
      </c>
      <c r="W150" s="304">
        <f t="shared" ca="1" si="62"/>
        <v>57.251370405322554</v>
      </c>
      <c r="Y150" s="314" t="str">
        <f t="shared" ca="1" si="80"/>
        <v/>
      </c>
      <c r="Z150" s="315" t="str">
        <f t="shared" ca="1" si="81"/>
        <v/>
      </c>
      <c r="AA150" s="316" t="str">
        <f t="shared" ca="1" si="82"/>
        <v/>
      </c>
      <c r="AC150" s="310" t="e">
        <f t="shared" ca="1" si="83"/>
        <v>#N/A</v>
      </c>
      <c r="AD150" s="323" t="e">
        <f t="shared" ca="1" si="84"/>
        <v>#N/A</v>
      </c>
      <c r="AE150" s="324">
        <f t="shared" ca="1" si="63"/>
        <v>106.77559632336603</v>
      </c>
      <c r="AG150" s="306">
        <f t="shared" ca="1" si="85"/>
        <v>82.215086747310238</v>
      </c>
      <c r="AH150" s="304">
        <f t="shared" ca="1" si="86"/>
        <v>91.974752079520755</v>
      </c>
    </row>
    <row r="151" spans="1:34" x14ac:dyDescent="0.2">
      <c r="A151" s="347">
        <f t="shared" ca="1" si="64"/>
        <v>0.01</v>
      </c>
      <c r="B151" s="304">
        <f t="shared" ca="1" si="65"/>
        <v>1.4700000000000011</v>
      </c>
      <c r="D151" s="306">
        <f t="shared" ca="1" si="66"/>
        <v>9.2818407839409431</v>
      </c>
      <c r="E151" s="307">
        <f t="shared" ca="1" si="67"/>
        <v>81.400069375688688</v>
      </c>
      <c r="F151" s="304">
        <f t="shared" ca="1" si="68"/>
        <v>81.927552524809144</v>
      </c>
      <c r="G151" s="306">
        <f t="shared" ca="1" si="69"/>
        <v>14.493991843269546</v>
      </c>
      <c r="H151" s="307">
        <f t="shared" ca="1" si="70"/>
        <v>142.33032905068453</v>
      </c>
      <c r="I151" s="304">
        <f t="shared" ca="1" si="71"/>
        <v>143.06641243572474</v>
      </c>
      <c r="J151" s="306">
        <f t="shared" ca="1" si="72"/>
        <v>10.522269781137139</v>
      </c>
      <c r="K151" s="307">
        <f t="shared" ca="1" si="73"/>
        <v>108.19482961040408</v>
      </c>
      <c r="L151" s="304">
        <f t="shared" ca="1" si="58"/>
        <v>108.70528651253076</v>
      </c>
      <c r="M151" s="306">
        <f t="shared" ca="1" si="74"/>
        <v>1.469312685119547</v>
      </c>
      <c r="N151" s="304">
        <f t="shared" ca="1" si="75"/>
        <v>84.185415642384527</v>
      </c>
      <c r="P151" s="310">
        <f t="shared" ca="1" si="76"/>
        <v>4</v>
      </c>
      <c r="Q151" s="304">
        <f t="shared" ca="1" si="77"/>
        <v>664.5999999999998</v>
      </c>
      <c r="R151" s="306">
        <f t="shared" ca="1" si="78"/>
        <v>0.33353177514246696</v>
      </c>
      <c r="S151" s="307">
        <f t="shared" ca="1" si="79"/>
        <v>6.6245762841471647</v>
      </c>
      <c r="T151" s="304">
        <f t="shared" ca="1" si="59"/>
        <v>64.987093347483693</v>
      </c>
      <c r="U151" s="311">
        <f t="shared" ca="1" si="60"/>
        <v>0</v>
      </c>
      <c r="V151" s="306">
        <f t="shared" ca="1" si="61"/>
        <v>1.2118174475734067</v>
      </c>
      <c r="W151" s="304">
        <f t="shared" ca="1" si="62"/>
        <v>57.904483060946745</v>
      </c>
      <c r="Y151" s="314" t="str">
        <f t="shared" ca="1" si="80"/>
        <v/>
      </c>
      <c r="Z151" s="315" t="str">
        <f t="shared" ca="1" si="81"/>
        <v/>
      </c>
      <c r="AA151" s="316" t="str">
        <f t="shared" ca="1" si="82"/>
        <v/>
      </c>
      <c r="AC151" s="310" t="e">
        <f t="shared" ca="1" si="83"/>
        <v>#N/A</v>
      </c>
      <c r="AD151" s="323" t="e">
        <f t="shared" ca="1" si="84"/>
        <v>#N/A</v>
      </c>
      <c r="AE151" s="324">
        <f t="shared" ca="1" si="63"/>
        <v>108.19482961040408</v>
      </c>
      <c r="AG151" s="306">
        <f t="shared" ca="1" si="85"/>
        <v>81.92153244397764</v>
      </c>
      <c r="AH151" s="304">
        <f t="shared" ca="1" si="86"/>
        <v>91.681128504487617</v>
      </c>
    </row>
    <row r="152" spans="1:34" x14ac:dyDescent="0.2">
      <c r="A152" s="347">
        <f t="shared" ca="1" si="64"/>
        <v>0.01</v>
      </c>
      <c r="B152" s="304">
        <f t="shared" ca="1" si="65"/>
        <v>1.4800000000000011</v>
      </c>
      <c r="D152" s="306">
        <f t="shared" ca="1" si="66"/>
        <v>9.2583659092341311</v>
      </c>
      <c r="E152" s="307">
        <f t="shared" ca="1" si="67"/>
        <v>81.106724707889484</v>
      </c>
      <c r="F152" s="304">
        <f t="shared" ca="1" si="68"/>
        <v>81.633437586265103</v>
      </c>
      <c r="G152" s="306">
        <f t="shared" ca="1" si="69"/>
        <v>14.586575502361887</v>
      </c>
      <c r="H152" s="307">
        <f t="shared" ca="1" si="70"/>
        <v>143.14139629776341</v>
      </c>
      <c r="I152" s="304">
        <f t="shared" ca="1" si="71"/>
        <v>143.88268665464744</v>
      </c>
      <c r="J152" s="306">
        <f t="shared" ca="1" si="72"/>
        <v>10.667672617865296</v>
      </c>
      <c r="K152" s="307">
        <f t="shared" ca="1" si="73"/>
        <v>109.62218823714632</v>
      </c>
      <c r="L152" s="304">
        <f t="shared" ca="1" si="58"/>
        <v>110.14001721891228</v>
      </c>
      <c r="M152" s="306">
        <f t="shared" ca="1" si="74"/>
        <v>1.4692436117257401</v>
      </c>
      <c r="N152" s="304">
        <f t="shared" ca="1" si="75"/>
        <v>84.181458028442748</v>
      </c>
      <c r="P152" s="310">
        <f t="shared" ca="1" si="76"/>
        <v>4</v>
      </c>
      <c r="Q152" s="304">
        <f t="shared" ca="1" si="77"/>
        <v>662.99999999999977</v>
      </c>
      <c r="R152" s="306">
        <f t="shared" ca="1" si="78"/>
        <v>0.33272880968921997</v>
      </c>
      <c r="S152" s="307">
        <f t="shared" ca="1" si="79"/>
        <v>6.621248996050273</v>
      </c>
      <c r="T152" s="304">
        <f t="shared" ca="1" si="59"/>
        <v>64.954452651253177</v>
      </c>
      <c r="U152" s="311">
        <f t="shared" ca="1" si="60"/>
        <v>0</v>
      </c>
      <c r="V152" s="306">
        <f t="shared" ca="1" si="61"/>
        <v>1.2116444849800259</v>
      </c>
      <c r="W152" s="304">
        <f t="shared" ca="1" si="62"/>
        <v>58.558763952329642</v>
      </c>
      <c r="Y152" s="314" t="str">
        <f t="shared" ca="1" si="80"/>
        <v/>
      </c>
      <c r="Z152" s="315" t="str">
        <f t="shared" ca="1" si="81"/>
        <v/>
      </c>
      <c r="AA152" s="316" t="str">
        <f t="shared" ca="1" si="82"/>
        <v/>
      </c>
      <c r="AC152" s="310" t="e">
        <f t="shared" ca="1" si="83"/>
        <v>#N/A</v>
      </c>
      <c r="AD152" s="323" t="e">
        <f t="shared" ca="1" si="84"/>
        <v>#N/A</v>
      </c>
      <c r="AE152" s="324">
        <f t="shared" ca="1" si="63"/>
        <v>109.62218823714632</v>
      </c>
      <c r="AG152" s="306">
        <f t="shared" ca="1" si="85"/>
        <v>81.627387568093667</v>
      </c>
      <c r="AH152" s="304">
        <f t="shared" ca="1" si="86"/>
        <v>91.386914659153646</v>
      </c>
    </row>
    <row r="153" spans="1:34" x14ac:dyDescent="0.2">
      <c r="A153" s="347">
        <f t="shared" ca="1" si="64"/>
        <v>0.01</v>
      </c>
      <c r="B153" s="304">
        <f t="shared" ca="1" si="65"/>
        <v>1.4900000000000011</v>
      </c>
      <c r="D153" s="306">
        <f t="shared" ca="1" si="66"/>
        <v>9.2347598353265852</v>
      </c>
      <c r="E153" s="307">
        <f t="shared" ca="1" si="67"/>
        <v>80.812807052218048</v>
      </c>
      <c r="F153" s="304">
        <f t="shared" ca="1" si="68"/>
        <v>81.3387396808875</v>
      </c>
      <c r="G153" s="306">
        <f t="shared" ca="1" si="69"/>
        <v>14.678923100715153</v>
      </c>
      <c r="H153" s="307">
        <f t="shared" ca="1" si="70"/>
        <v>143.94952436828558</v>
      </c>
      <c r="I153" s="304">
        <f t="shared" ca="1" si="71"/>
        <v>144.69601359143365</v>
      </c>
      <c r="J153" s="306">
        <f t="shared" ca="1" si="72"/>
        <v>10.814000110880681</v>
      </c>
      <c r="K153" s="307">
        <f t="shared" ca="1" si="73"/>
        <v>111.05764284047656</v>
      </c>
      <c r="L153" s="304">
        <f t="shared" ca="1" si="58"/>
        <v>111.58289578461827</v>
      </c>
      <c r="M153" s="306">
        <f t="shared" ca="1" si="74"/>
        <v>1.4691748800002193</v>
      </c>
      <c r="N153" s="304">
        <f t="shared" ca="1" si="75"/>
        <v>84.177519990651746</v>
      </c>
      <c r="P153" s="310">
        <f t="shared" ca="1" si="76"/>
        <v>4</v>
      </c>
      <c r="Q153" s="304">
        <f t="shared" ca="1" si="77"/>
        <v>661.39999999999986</v>
      </c>
      <c r="R153" s="306">
        <f t="shared" ca="1" si="78"/>
        <v>0.33192584423597304</v>
      </c>
      <c r="S153" s="307">
        <f t="shared" ca="1" si="79"/>
        <v>6.6179297376079136</v>
      </c>
      <c r="T153" s="304">
        <f t="shared" ca="1" si="59"/>
        <v>64.921890725933636</v>
      </c>
      <c r="U153" s="311">
        <f t="shared" ca="1" si="60"/>
        <v>0</v>
      </c>
      <c r="V153" s="306">
        <f t="shared" ca="1" si="61"/>
        <v>1.2114705661039147</v>
      </c>
      <c r="W153" s="304">
        <f t="shared" ca="1" si="62"/>
        <v>59.214165580818964</v>
      </c>
      <c r="Y153" s="314" t="str">
        <f t="shared" ca="1" si="80"/>
        <v/>
      </c>
      <c r="Z153" s="315" t="str">
        <f t="shared" ca="1" si="81"/>
        <v/>
      </c>
      <c r="AA153" s="316" t="str">
        <f t="shared" ca="1" si="82"/>
        <v/>
      </c>
      <c r="AC153" s="310" t="e">
        <f t="shared" ca="1" si="83"/>
        <v>#N/A</v>
      </c>
      <c r="AD153" s="323" t="e">
        <f t="shared" ca="1" si="84"/>
        <v>#N/A</v>
      </c>
      <c r="AE153" s="324">
        <f t="shared" ca="1" si="63"/>
        <v>111.05764284047656</v>
      </c>
      <c r="AG153" s="306">
        <f t="shared" ca="1" si="85"/>
        <v>81.332659501061769</v>
      </c>
      <c r="AH153" s="304">
        <f t="shared" ca="1" si="86"/>
        <v>91.092117920485876</v>
      </c>
    </row>
    <row r="154" spans="1:34" x14ac:dyDescent="0.2">
      <c r="A154" s="347">
        <f t="shared" ca="1" si="64"/>
        <v>0.01</v>
      </c>
      <c r="B154" s="304">
        <f t="shared" ca="1" si="65"/>
        <v>1.5000000000000011</v>
      </c>
      <c r="D154" s="306">
        <f t="shared" ca="1" si="66"/>
        <v>9.211023955237275</v>
      </c>
      <c r="E154" s="307">
        <f t="shared" ca="1" si="67"/>
        <v>80.518323692675494</v>
      </c>
      <c r="F154" s="304">
        <f t="shared" ca="1" si="68"/>
        <v>81.043466193040032</v>
      </c>
      <c r="G154" s="306">
        <f t="shared" ca="1" si="69"/>
        <v>14.771033340267525</v>
      </c>
      <c r="H154" s="307">
        <f t="shared" ca="1" si="70"/>
        <v>144.75470760521233</v>
      </c>
      <c r="I154" s="304">
        <f t="shared" ca="1" si="71"/>
        <v>145.50638748800623</v>
      </c>
      <c r="J154" s="306">
        <f t="shared" ca="1" si="72"/>
        <v>10.961249893085593</v>
      </c>
      <c r="K154" s="307">
        <f t="shared" ca="1" si="73"/>
        <v>112.50116400034405</v>
      </c>
      <c r="L154" s="304">
        <f t="shared" ca="1" si="58"/>
        <v>113.0338927076785</v>
      </c>
      <c r="M154" s="306">
        <f t="shared" ca="1" si="74"/>
        <v>1.4691064849649049</v>
      </c>
      <c r="N154" s="304">
        <f t="shared" ca="1" si="75"/>
        <v>84.173601243788582</v>
      </c>
      <c r="P154" s="310">
        <f t="shared" ca="1" si="76"/>
        <v>4</v>
      </c>
      <c r="Q154" s="304">
        <f t="shared" ca="1" si="77"/>
        <v>659.79999999999984</v>
      </c>
      <c r="R154" s="306">
        <f t="shared" ca="1" si="78"/>
        <v>0.331122878782726</v>
      </c>
      <c r="S154" s="307">
        <f t="shared" ca="1" si="79"/>
        <v>6.6146185088200866</v>
      </c>
      <c r="T154" s="304">
        <f t="shared" ca="1" si="59"/>
        <v>64.889407571525055</v>
      </c>
      <c r="U154" s="311">
        <f t="shared" ca="1" si="60"/>
        <v>0</v>
      </c>
      <c r="V154" s="306">
        <f t="shared" ca="1" si="61"/>
        <v>1.2112956949236036</v>
      </c>
      <c r="W154" s="304">
        <f t="shared" ca="1" si="62"/>
        <v>59.870640577074184</v>
      </c>
      <c r="Y154" s="314" t="str">
        <f t="shared" ca="1" si="80"/>
        <v/>
      </c>
      <c r="Z154" s="315" t="str">
        <f t="shared" ca="1" si="81"/>
        <v/>
      </c>
      <c r="AA154" s="316" t="str">
        <f t="shared" ca="1" si="82"/>
        <v/>
      </c>
      <c r="AC154" s="310" t="e">
        <f t="shared" ca="1" si="83"/>
        <v>#N/A</v>
      </c>
      <c r="AD154" s="323" t="e">
        <f t="shared" ca="1" si="84"/>
        <v>#N/A</v>
      </c>
      <c r="AE154" s="324">
        <f t="shared" ca="1" si="63"/>
        <v>112.50116400034405</v>
      </c>
      <c r="AG154" s="306">
        <f t="shared" ca="1" si="85"/>
        <v>81.037355624179156</v>
      </c>
      <c r="AH154" s="304">
        <f t="shared" ca="1" si="86"/>
        <v>90.79674566542964</v>
      </c>
    </row>
    <row r="155" spans="1:34" x14ac:dyDescent="0.2">
      <c r="A155" s="347">
        <f t="shared" ca="1" si="64"/>
        <v>0.01</v>
      </c>
      <c r="B155" s="304">
        <f t="shared" ca="1" si="65"/>
        <v>1.5100000000000011</v>
      </c>
      <c r="D155" s="306">
        <f t="shared" ca="1" si="66"/>
        <v>9.1882349664233907</v>
      </c>
      <c r="E155" s="307">
        <f t="shared" ca="1" si="67"/>
        <v>80.233819909793539</v>
      </c>
      <c r="F155" s="304">
        <f t="shared" ca="1" si="68"/>
        <v>80.758216418612093</v>
      </c>
      <c r="G155" s="306">
        <f t="shared" ca="1" si="69"/>
        <v>14.862915689931759</v>
      </c>
      <c r="H155" s="307">
        <f t="shared" ca="1" si="70"/>
        <v>145.55704580431026</v>
      </c>
      <c r="I155" s="304">
        <f t="shared" ca="1" si="71"/>
        <v>146.31390858727033</v>
      </c>
      <c r="J155" s="306">
        <f t="shared" ca="1" si="72"/>
        <v>11.10941963823659</v>
      </c>
      <c r="K155" s="307">
        <f t="shared" ca="1" si="73"/>
        <v>113.95272276739166</v>
      </c>
      <c r="L155" s="304">
        <f t="shared" ca="1" si="58"/>
        <v>114.49297895853901</v>
      </c>
      <c r="M155" s="306">
        <f t="shared" ca="1" si="74"/>
        <v>1.4690384217881245</v>
      </c>
      <c r="N155" s="304">
        <f t="shared" ca="1" si="75"/>
        <v>84.169701511018815</v>
      </c>
      <c r="P155" s="310">
        <f t="shared" ca="1" si="76"/>
        <v>5</v>
      </c>
      <c r="Q155" s="304">
        <f t="shared" ca="1" si="77"/>
        <v>658.26999999999987</v>
      </c>
      <c r="R155" s="306">
        <f t="shared" ca="1" si="78"/>
        <v>0.33035504306805863</v>
      </c>
      <c r="S155" s="307">
        <f t="shared" ca="1" si="79"/>
        <v>6.6113149583894062</v>
      </c>
      <c r="T155" s="304">
        <f t="shared" ca="1" si="59"/>
        <v>64.856999741800081</v>
      </c>
      <c r="U155" s="311">
        <f t="shared" ca="1" si="60"/>
        <v>0</v>
      </c>
      <c r="V155" s="306">
        <f t="shared" ca="1" si="61"/>
        <v>1.2111198753607442</v>
      </c>
      <c r="W155" s="304">
        <f t="shared" ca="1" si="62"/>
        <v>60.528229342329411</v>
      </c>
      <c r="Y155" s="314" t="str">
        <f t="shared" ca="1" si="80"/>
        <v/>
      </c>
      <c r="Z155" s="315" t="str">
        <f t="shared" ca="1" si="81"/>
        <v/>
      </c>
      <c r="AA155" s="316" t="str">
        <f t="shared" ca="1" si="82"/>
        <v/>
      </c>
      <c r="AC155" s="310" t="e">
        <f t="shared" ca="1" si="83"/>
        <v>#N/A</v>
      </c>
      <c r="AD155" s="323" t="e">
        <f t="shared" ca="1" si="84"/>
        <v>#N/A</v>
      </c>
      <c r="AE155" s="324">
        <f t="shared" ca="1" si="63"/>
        <v>113.95272276739166</v>
      </c>
      <c r="AG155" s="306">
        <f t="shared" ca="1" si="85"/>
        <v>80.752076035749312</v>
      </c>
      <c r="AH155" s="304">
        <f t="shared" ca="1" si="86"/>
        <v>90.511397988018828</v>
      </c>
    </row>
    <row r="156" spans="1:34" x14ac:dyDescent="0.2">
      <c r="A156" s="347">
        <f t="shared" ca="1" si="64"/>
        <v>0.01</v>
      </c>
      <c r="B156" s="304">
        <f t="shared" ca="1" si="65"/>
        <v>1.5200000000000011</v>
      </c>
      <c r="D156" s="306">
        <f t="shared" ca="1" si="66"/>
        <v>9.166397131190104</v>
      </c>
      <c r="E156" s="307">
        <f t="shared" ca="1" si="67"/>
        <v>79.959310068074728</v>
      </c>
      <c r="F156" s="304">
        <f t="shared" ca="1" si="68"/>
        <v>80.483005056528597</v>
      </c>
      <c r="G156" s="306">
        <f t="shared" ca="1" si="69"/>
        <v>14.95457966124366</v>
      </c>
      <c r="H156" s="307">
        <f t="shared" ca="1" si="70"/>
        <v>146.356638904991</v>
      </c>
      <c r="I156" s="304">
        <f t="shared" ca="1" si="71"/>
        <v>147.11867727929859</v>
      </c>
      <c r="J156" s="306">
        <f t="shared" ca="1" si="72"/>
        <v>11.258507114992467</v>
      </c>
      <c r="K156" s="307">
        <f t="shared" ca="1" si="73"/>
        <v>115.41229119093816</v>
      </c>
      <c r="L156" s="304">
        <f t="shared" ca="1" si="58"/>
        <v>115.96012651079783</v>
      </c>
      <c r="M156" s="306">
        <f t="shared" ca="1" si="74"/>
        <v>1.4689706857800844</v>
      </c>
      <c r="N156" s="304">
        <f t="shared" ca="1" si="75"/>
        <v>84.165820523637052</v>
      </c>
      <c r="P156" s="310">
        <f t="shared" ca="1" si="76"/>
        <v>5</v>
      </c>
      <c r="Q156" s="304">
        <f t="shared" ca="1" si="77"/>
        <v>656.80999999999983</v>
      </c>
      <c r="R156" s="306">
        <f t="shared" ca="1" si="78"/>
        <v>0.3296223370919707</v>
      </c>
      <c r="S156" s="307">
        <f t="shared" ca="1" si="79"/>
        <v>6.6080187350184865</v>
      </c>
      <c r="T156" s="304">
        <f t="shared" ca="1" si="59"/>
        <v>64.824663790531361</v>
      </c>
      <c r="U156" s="311">
        <f t="shared" ca="1" si="60"/>
        <v>0</v>
      </c>
      <c r="V156" s="306">
        <f t="shared" ca="1" si="61"/>
        <v>1.2109431112161879</v>
      </c>
      <c r="W156" s="304">
        <f t="shared" ca="1" si="62"/>
        <v>61.186974343921953</v>
      </c>
      <c r="Y156" s="314" t="str">
        <f t="shared" ca="1" si="80"/>
        <v/>
      </c>
      <c r="Z156" s="315" t="str">
        <f t="shared" ca="1" si="81"/>
        <v/>
      </c>
      <c r="AA156" s="316" t="str">
        <f t="shared" ca="1" si="82"/>
        <v/>
      </c>
      <c r="AC156" s="310" t="e">
        <f t="shared" ca="1" si="83"/>
        <v>#N/A</v>
      </c>
      <c r="AD156" s="323" t="e">
        <f t="shared" ca="1" si="84"/>
        <v>#N/A</v>
      </c>
      <c r="AE156" s="324">
        <f t="shared" ca="1" si="63"/>
        <v>115.41229119093816</v>
      </c>
      <c r="AG156" s="306">
        <f t="shared" ca="1" si="85"/>
        <v>80.476835452576765</v>
      </c>
      <c r="AH156" s="304">
        <f t="shared" ca="1" si="86"/>
        <v>90.236089600917623</v>
      </c>
    </row>
    <row r="157" spans="1:34" x14ac:dyDescent="0.2">
      <c r="A157" s="347">
        <f t="shared" ca="1" si="64"/>
        <v>0.01</v>
      </c>
      <c r="B157" s="304">
        <f t="shared" ca="1" si="65"/>
        <v>1.5300000000000011</v>
      </c>
      <c r="D157" s="306">
        <f t="shared" ca="1" si="66"/>
        <v>9.144436818152526</v>
      </c>
      <c r="E157" s="307">
        <f t="shared" ca="1" si="67"/>
        <v>79.68425979871067</v>
      </c>
      <c r="F157" s="304">
        <f t="shared" ca="1" si="68"/>
        <v>80.207243964554721</v>
      </c>
      <c r="G157" s="306">
        <f t="shared" ca="1" si="69"/>
        <v>15.046024029425185</v>
      </c>
      <c r="H157" s="307">
        <f t="shared" ca="1" si="70"/>
        <v>147.15348150297811</v>
      </c>
      <c r="I157" s="304">
        <f t="shared" ca="1" si="71"/>
        <v>147.92068806472392</v>
      </c>
      <c r="J157" s="306">
        <f t="shared" ca="1" si="72"/>
        <v>11.408510133445811</v>
      </c>
      <c r="K157" s="307">
        <f t="shared" ca="1" si="73"/>
        <v>116.87984179297801</v>
      </c>
      <c r="L157" s="304">
        <f t="shared" ca="1" si="58"/>
        <v>117.4353078124995</v>
      </c>
      <c r="M157" s="306">
        <f t="shared" ca="1" si="74"/>
        <v>1.4689032723401947</v>
      </c>
      <c r="N157" s="304">
        <f t="shared" ca="1" si="75"/>
        <v>84.161958018048907</v>
      </c>
      <c r="P157" s="310">
        <f t="shared" ca="1" si="76"/>
        <v>5</v>
      </c>
      <c r="Q157" s="304">
        <f t="shared" ca="1" si="77"/>
        <v>655.3499999999998</v>
      </c>
      <c r="R157" s="306">
        <f t="shared" ca="1" si="78"/>
        <v>0.32888963111588282</v>
      </c>
      <c r="S157" s="307">
        <f t="shared" ca="1" si="79"/>
        <v>6.6047298387073274</v>
      </c>
      <c r="T157" s="304">
        <f t="shared" ca="1" si="59"/>
        <v>64.79239971771888</v>
      </c>
      <c r="U157" s="311">
        <f t="shared" ca="1" si="60"/>
        <v>0</v>
      </c>
      <c r="V157" s="306">
        <f t="shared" ca="1" si="61"/>
        <v>1.2107654062337294</v>
      </c>
      <c r="W157" s="304">
        <f t="shared" ca="1" si="62"/>
        <v>61.846831434294394</v>
      </c>
      <c r="Y157" s="314" t="str">
        <f t="shared" ca="1" si="80"/>
        <v/>
      </c>
      <c r="Z157" s="315" t="str">
        <f t="shared" ca="1" si="81"/>
        <v/>
      </c>
      <c r="AA157" s="316" t="str">
        <f t="shared" ca="1" si="82"/>
        <v/>
      </c>
      <c r="AC157" s="310" t="e">
        <f t="shared" ca="1" si="83"/>
        <v>#N/A</v>
      </c>
      <c r="AD157" s="323" t="e">
        <f t="shared" ca="1" si="84"/>
        <v>#N/A</v>
      </c>
      <c r="AE157" s="324">
        <f t="shared" ca="1" si="63"/>
        <v>116.87984179297801</v>
      </c>
      <c r="AG157" s="306">
        <f t="shared" ca="1" si="85"/>
        <v>80.201044930723668</v>
      </c>
      <c r="AH157" s="304">
        <f t="shared" ca="1" si="86"/>
        <v>89.960231556173227</v>
      </c>
    </row>
    <row r="158" spans="1:34" x14ac:dyDescent="0.2">
      <c r="A158" s="347">
        <f t="shared" ca="1" si="64"/>
        <v>0.01</v>
      </c>
      <c r="B158" s="304">
        <f t="shared" ca="1" si="65"/>
        <v>1.5400000000000011</v>
      </c>
      <c r="D158" s="306">
        <f t="shared" ca="1" si="66"/>
        <v>9.1223552870782942</v>
      </c>
      <c r="E158" s="307">
        <f t="shared" ca="1" si="67"/>
        <v>79.408675802683391</v>
      </c>
      <c r="F158" s="304">
        <f t="shared" ca="1" si="68"/>
        <v>79.930939933916449</v>
      </c>
      <c r="G158" s="306">
        <f t="shared" ca="1" si="69"/>
        <v>15.137247582295968</v>
      </c>
      <c r="H158" s="307">
        <f t="shared" ca="1" si="70"/>
        <v>147.94756826100493</v>
      </c>
      <c r="I158" s="304">
        <f t="shared" ca="1" si="71"/>
        <v>148.71993551206387</v>
      </c>
      <c r="J158" s="306">
        <f t="shared" ca="1" si="72"/>
        <v>11.559426491504416</v>
      </c>
      <c r="K158" s="307">
        <f t="shared" ca="1" si="73"/>
        <v>118.35534704179793</v>
      </c>
      <c r="L158" s="304">
        <f t="shared" ca="1" si="58"/>
        <v>118.91849525703275</v>
      </c>
      <c r="M158" s="306">
        <f t="shared" ca="1" si="74"/>
        <v>1.4688361769547671</v>
      </c>
      <c r="N158" s="304">
        <f t="shared" ca="1" si="75"/>
        <v>84.158113735639105</v>
      </c>
      <c r="P158" s="310">
        <f t="shared" ca="1" si="76"/>
        <v>5</v>
      </c>
      <c r="Q158" s="304">
        <f t="shared" ca="1" si="77"/>
        <v>653.88999999999987</v>
      </c>
      <c r="R158" s="306">
        <f t="shared" ca="1" si="78"/>
        <v>0.328156925139795</v>
      </c>
      <c r="S158" s="307">
        <f t="shared" ca="1" si="79"/>
        <v>6.6014482694559291</v>
      </c>
      <c r="T158" s="304">
        <f t="shared" ca="1" si="59"/>
        <v>64.760207523362666</v>
      </c>
      <c r="U158" s="311">
        <f t="shared" ca="1" si="60"/>
        <v>0</v>
      </c>
      <c r="V158" s="306">
        <f t="shared" ca="1" si="61"/>
        <v>1.210586764163849</v>
      </c>
      <c r="W158" s="304">
        <f t="shared" ca="1" si="62"/>
        <v>62.50775657901854</v>
      </c>
      <c r="Y158" s="314" t="str">
        <f t="shared" ca="1" si="80"/>
        <v/>
      </c>
      <c r="Z158" s="315" t="str">
        <f t="shared" ca="1" si="81"/>
        <v/>
      </c>
      <c r="AA158" s="316" t="str">
        <f t="shared" ca="1" si="82"/>
        <v/>
      </c>
      <c r="AC158" s="310" t="e">
        <f t="shared" ca="1" si="83"/>
        <v>#N/A</v>
      </c>
      <c r="AD158" s="323" t="e">
        <f t="shared" ca="1" si="84"/>
        <v>#N/A</v>
      </c>
      <c r="AE158" s="324">
        <f t="shared" ca="1" si="63"/>
        <v>118.35534704179793</v>
      </c>
      <c r="AG158" s="306">
        <f t="shared" ca="1" si="85"/>
        <v>79.924711258694586</v>
      </c>
      <c r="AH158" s="304">
        <f t="shared" ca="1" si="86"/>
        <v>89.683830638348681</v>
      </c>
    </row>
    <row r="159" spans="1:34" x14ac:dyDescent="0.2">
      <c r="A159" s="347">
        <f t="shared" ca="1" si="64"/>
        <v>0.01</v>
      </c>
      <c r="B159" s="304">
        <f t="shared" ca="1" si="65"/>
        <v>1.5500000000000012</v>
      </c>
      <c r="D159" s="306">
        <f t="shared" ca="1" si="66"/>
        <v>9.1001537877997425</v>
      </c>
      <c r="E159" s="307">
        <f t="shared" ca="1" si="67"/>
        <v>79.132564781776267</v>
      </c>
      <c r="F159" s="304">
        <f t="shared" ca="1" si="68"/>
        <v>79.6540997557792</v>
      </c>
      <c r="G159" s="306">
        <f t="shared" ca="1" si="69"/>
        <v>15.228249120173965</v>
      </c>
      <c r="H159" s="307">
        <f t="shared" ca="1" si="70"/>
        <v>148.73889390882269</v>
      </c>
      <c r="I159" s="304">
        <f t="shared" ca="1" si="71"/>
        <v>149.51641425771984</v>
      </c>
      <c r="J159" s="306">
        <f t="shared" ca="1" si="72"/>
        <v>11.711253975016765</v>
      </c>
      <c r="K159" s="307">
        <f t="shared" ca="1" si="73"/>
        <v>119.83877935264707</v>
      </c>
      <c r="L159" s="304">
        <f t="shared" ca="1" si="58"/>
        <v>120.40966118380939</v>
      </c>
      <c r="M159" s="306">
        <f t="shared" ca="1" si="74"/>
        <v>1.468769395194786</v>
      </c>
      <c r="N159" s="304">
        <f t="shared" ca="1" si="75"/>
        <v>84.154287422643733</v>
      </c>
      <c r="P159" s="310">
        <f t="shared" ca="1" si="76"/>
        <v>5</v>
      </c>
      <c r="Q159" s="304">
        <f t="shared" ca="1" si="77"/>
        <v>652.42999999999984</v>
      </c>
      <c r="R159" s="306">
        <f t="shared" ca="1" si="78"/>
        <v>0.32742421916370706</v>
      </c>
      <c r="S159" s="307">
        <f t="shared" ca="1" si="79"/>
        <v>6.5981740272642924</v>
      </c>
      <c r="T159" s="304">
        <f t="shared" ca="1" si="59"/>
        <v>64.728087207462707</v>
      </c>
      <c r="U159" s="311">
        <f t="shared" ca="1" si="60"/>
        <v>0</v>
      </c>
      <c r="V159" s="306">
        <f t="shared" ca="1" si="61"/>
        <v>1.2104071887635957</v>
      </c>
      <c r="W159" s="304">
        <f t="shared" ca="1" si="62"/>
        <v>63.169705859497135</v>
      </c>
      <c r="Y159" s="314" t="str">
        <f t="shared" ca="1" si="80"/>
        <v/>
      </c>
      <c r="Z159" s="315" t="str">
        <f t="shared" ca="1" si="81"/>
        <v/>
      </c>
      <c r="AA159" s="316" t="str">
        <f t="shared" ca="1" si="82"/>
        <v/>
      </c>
      <c r="AC159" s="310" t="e">
        <f t="shared" ca="1" si="83"/>
        <v>#N/A</v>
      </c>
      <c r="AD159" s="323" t="e">
        <f t="shared" ca="1" si="84"/>
        <v>#N/A</v>
      </c>
      <c r="AE159" s="324">
        <f t="shared" ca="1" si="63"/>
        <v>119.83877935264707</v>
      </c>
      <c r="AG159" s="306">
        <f t="shared" ca="1" si="85"/>
        <v>79.64784122490606</v>
      </c>
      <c r="AH159" s="304">
        <f t="shared" ca="1" si="86"/>
        <v>89.406893631990556</v>
      </c>
    </row>
    <row r="160" spans="1:34" x14ac:dyDescent="0.2">
      <c r="A160" s="347">
        <f t="shared" ca="1" si="64"/>
        <v>0.01</v>
      </c>
      <c r="B160" s="304">
        <f t="shared" ca="1" si="65"/>
        <v>1.5600000000000012</v>
      </c>
      <c r="D160" s="306">
        <f t="shared" ca="1" si="66"/>
        <v>9.077833560436277</v>
      </c>
      <c r="E160" s="307">
        <f t="shared" ca="1" si="67"/>
        <v>78.855933438069258</v>
      </c>
      <c r="F160" s="304">
        <f t="shared" ca="1" si="68"/>
        <v>79.376730220765538</v>
      </c>
      <c r="G160" s="306">
        <f t="shared" ca="1" si="69"/>
        <v>15.319027455778327</v>
      </c>
      <c r="H160" s="307">
        <f t="shared" ca="1" si="70"/>
        <v>149.52745324320338</v>
      </c>
      <c r="I160" s="304">
        <f t="shared" ca="1" si="71"/>
        <v>150.31011900597133</v>
      </c>
      <c r="J160" s="306">
        <f t="shared" ca="1" si="72"/>
        <v>11.863990357896526</v>
      </c>
      <c r="K160" s="307">
        <f t="shared" ca="1" si="73"/>
        <v>121.33011108840719</v>
      </c>
      <c r="L160" s="304">
        <f t="shared" ca="1" si="58"/>
        <v>121.90877787894313</v>
      </c>
      <c r="M160" s="306">
        <f t="shared" ca="1" si="74"/>
        <v>1.4687029227137522</v>
      </c>
      <c r="N160" s="304">
        <f t="shared" ca="1" si="75"/>
        <v>84.150478830026742</v>
      </c>
      <c r="P160" s="310">
        <f t="shared" ca="1" si="76"/>
        <v>5</v>
      </c>
      <c r="Q160" s="304">
        <f t="shared" ca="1" si="77"/>
        <v>650.9699999999998</v>
      </c>
      <c r="R160" s="306">
        <f t="shared" ca="1" si="78"/>
        <v>0.32669151318761919</v>
      </c>
      <c r="S160" s="307">
        <f t="shared" ca="1" si="79"/>
        <v>6.5949071121324163</v>
      </c>
      <c r="T160" s="304">
        <f t="shared" ca="1" si="59"/>
        <v>64.696038770019001</v>
      </c>
      <c r="U160" s="311">
        <f t="shared" ca="1" si="60"/>
        <v>0</v>
      </c>
      <c r="V160" s="306">
        <f t="shared" ca="1" si="61"/>
        <v>1.2102266837964761</v>
      </c>
      <c r="W160" s="304">
        <f t="shared" ca="1" si="62"/>
        <v>63.832635475641844</v>
      </c>
      <c r="Y160" s="314" t="str">
        <f t="shared" ca="1" si="80"/>
        <v/>
      </c>
      <c r="Z160" s="315" t="str">
        <f t="shared" ca="1" si="81"/>
        <v/>
      </c>
      <c r="AA160" s="316" t="str">
        <f t="shared" ca="1" si="82"/>
        <v/>
      </c>
      <c r="AC160" s="310" t="e">
        <f t="shared" ca="1" si="83"/>
        <v>#N/A</v>
      </c>
      <c r="AD160" s="323" t="e">
        <f t="shared" ca="1" si="84"/>
        <v>#N/A</v>
      </c>
      <c r="AE160" s="324">
        <f t="shared" ca="1" si="63"/>
        <v>121.33011108840719</v>
      </c>
      <c r="AG160" s="306">
        <f t="shared" ca="1" si="85"/>
        <v>79.370441617203511</v>
      </c>
      <c r="AH160" s="304">
        <f t="shared" ca="1" si="86"/>
        <v>89.129427321144121</v>
      </c>
    </row>
    <row r="161" spans="1:34" x14ac:dyDescent="0.2">
      <c r="A161" s="347">
        <f t="shared" ca="1" si="64"/>
        <v>0.01</v>
      </c>
      <c r="B161" s="304">
        <f t="shared" ca="1" si="65"/>
        <v>1.5700000000000012</v>
      </c>
      <c r="D161" s="306">
        <f t="shared" ca="1" si="66"/>
        <v>9.0553958356079143</v>
      </c>
      <c r="E161" s="307">
        <f t="shared" ca="1" si="67"/>
        <v>78.578788473436802</v>
      </c>
      <c r="F161" s="304">
        <f t="shared" ca="1" si="68"/>
        <v>79.098838118474717</v>
      </c>
      <c r="G161" s="306">
        <f t="shared" ca="1" si="69"/>
        <v>15.409581414134406</v>
      </c>
      <c r="H161" s="307">
        <f t="shared" ca="1" si="70"/>
        <v>150.31324112793774</v>
      </c>
      <c r="I161" s="304">
        <f t="shared" ca="1" si="71"/>
        <v>151.10104452896542</v>
      </c>
      <c r="J161" s="306">
        <f t="shared" ca="1" si="72"/>
        <v>12.017633402246089</v>
      </c>
      <c r="K161" s="307">
        <f t="shared" ca="1" si="73"/>
        <v>122.8293145602629</v>
      </c>
      <c r="L161" s="304">
        <f t="shared" ca="1" si="58"/>
        <v>123.41581757592822</v>
      </c>
      <c r="M161" s="306">
        <f t="shared" ca="1" si="74"/>
        <v>1.4686367552455937</v>
      </c>
      <c r="N161" s="304">
        <f t="shared" ca="1" si="75"/>
        <v>84.14668771336018</v>
      </c>
      <c r="P161" s="310">
        <f t="shared" ca="1" si="76"/>
        <v>5</v>
      </c>
      <c r="Q161" s="304">
        <f t="shared" ca="1" si="77"/>
        <v>649.50999999999976</v>
      </c>
      <c r="R161" s="306">
        <f t="shared" ca="1" si="78"/>
        <v>0.32595880721153131</v>
      </c>
      <c r="S161" s="307">
        <f t="shared" ca="1" si="79"/>
        <v>6.591647524060301</v>
      </c>
      <c r="T161" s="304">
        <f t="shared" ca="1" si="59"/>
        <v>64.664062211031549</v>
      </c>
      <c r="U161" s="311">
        <f t="shared" ca="1" si="60"/>
        <v>0</v>
      </c>
      <c r="V161" s="306">
        <f t="shared" ca="1" si="61"/>
        <v>1.2100452530323409</v>
      </c>
      <c r="W161" s="304">
        <f t="shared" ca="1" si="62"/>
        <v>64.496501748526072</v>
      </c>
      <c r="Y161" s="314" t="str">
        <f t="shared" ca="1" si="80"/>
        <v/>
      </c>
      <c r="Z161" s="315" t="str">
        <f t="shared" ca="1" si="81"/>
        <v/>
      </c>
      <c r="AA161" s="316" t="str">
        <f t="shared" ca="1" si="82"/>
        <v/>
      </c>
      <c r="AC161" s="310" t="e">
        <f t="shared" ca="1" si="83"/>
        <v>#N/A</v>
      </c>
      <c r="AD161" s="323" t="e">
        <f t="shared" ca="1" si="84"/>
        <v>#N/A</v>
      </c>
      <c r="AE161" s="324">
        <f t="shared" ca="1" si="63"/>
        <v>122.8293145602629</v>
      </c>
      <c r="AG161" s="306">
        <f t="shared" ca="1" si="85"/>
        <v>79.092519222379977</v>
      </c>
      <c r="AH161" s="304">
        <f t="shared" ca="1" si="86"/>
        <v>88.851438488870286</v>
      </c>
    </row>
    <row r="162" spans="1:34" x14ac:dyDescent="0.2">
      <c r="A162" s="347">
        <f t="shared" ca="1" si="64"/>
        <v>0.01</v>
      </c>
      <c r="B162" s="304">
        <f t="shared" ca="1" si="65"/>
        <v>1.5800000000000012</v>
      </c>
      <c r="D162" s="306">
        <f t="shared" ca="1" si="66"/>
        <v>9.0328418346406494</v>
      </c>
      <c r="E162" s="307">
        <f t="shared" ca="1" si="67"/>
        <v>78.301136589048724</v>
      </c>
      <c r="F162" s="304">
        <f t="shared" ca="1" si="68"/>
        <v>78.820430237004544</v>
      </c>
      <c r="G162" s="306">
        <f t="shared" ca="1" si="69"/>
        <v>15.499909832480812</v>
      </c>
      <c r="H162" s="307">
        <f t="shared" ca="1" si="70"/>
        <v>151.09625249382822</v>
      </c>
      <c r="I162" s="304">
        <f t="shared" ca="1" si="71"/>
        <v>151.88918566670151</v>
      </c>
      <c r="J162" s="306">
        <f t="shared" ca="1" si="72"/>
        <v>12.172180858479164</v>
      </c>
      <c r="K162" s="307">
        <f t="shared" ca="1" si="73"/>
        <v>124.33636202837172</v>
      </c>
      <c r="L162" s="304">
        <f t="shared" ca="1" si="58"/>
        <v>124.93075245631816</v>
      </c>
      <c r="M162" s="306">
        <f t="shared" ca="1" si="74"/>
        <v>1.4685708886026425</v>
      </c>
      <c r="N162" s="304">
        <f t="shared" ca="1" si="75"/>
        <v>84.142913832708388</v>
      </c>
      <c r="P162" s="310">
        <f t="shared" ca="1" si="76"/>
        <v>5</v>
      </c>
      <c r="Q162" s="304">
        <f t="shared" ca="1" si="77"/>
        <v>648.04999999999984</v>
      </c>
      <c r="R162" s="306">
        <f t="shared" ca="1" si="78"/>
        <v>0.32522610123544349</v>
      </c>
      <c r="S162" s="307">
        <f t="shared" ca="1" si="79"/>
        <v>6.5883952630479463</v>
      </c>
      <c r="T162" s="304">
        <f t="shared" ca="1" si="59"/>
        <v>64.632157530500351</v>
      </c>
      <c r="U162" s="311">
        <f t="shared" ca="1" si="60"/>
        <v>0</v>
      </c>
      <c r="V162" s="306">
        <f t="shared" ca="1" si="61"/>
        <v>1.2098629002472705</v>
      </c>
      <c r="W162" s="304">
        <f t="shared" ca="1" si="62"/>
        <v>65.161261123013347</v>
      </c>
      <c r="Y162" s="314" t="str">
        <f t="shared" ca="1" si="80"/>
        <v/>
      </c>
      <c r="Z162" s="315" t="str">
        <f t="shared" ca="1" si="81"/>
        <v/>
      </c>
      <c r="AA162" s="316" t="str">
        <f t="shared" ca="1" si="82"/>
        <v/>
      </c>
      <c r="AC162" s="310" t="e">
        <f t="shared" ca="1" si="83"/>
        <v>#N/A</v>
      </c>
      <c r="AD162" s="323" t="e">
        <f t="shared" ca="1" si="84"/>
        <v>#N/A</v>
      </c>
      <c r="AE162" s="324">
        <f t="shared" ca="1" si="63"/>
        <v>124.33636202837172</v>
      </c>
      <c r="AG162" s="306">
        <f t="shared" ca="1" si="85"/>
        <v>78.814080825697275</v>
      </c>
      <c r="AH162" s="304">
        <f t="shared" ca="1" si="86"/>
        <v>88.572933916765081</v>
      </c>
    </row>
    <row r="163" spans="1:34" x14ac:dyDescent="0.2">
      <c r="A163" s="347">
        <f t="shared" ca="1" si="64"/>
        <v>0.01</v>
      </c>
      <c r="B163" s="304">
        <f t="shared" ca="1" si="65"/>
        <v>1.5900000000000012</v>
      </c>
      <c r="D163" s="306">
        <f t="shared" ca="1" si="66"/>
        <v>9.0101727697637379</v>
      </c>
      <c r="E163" s="307">
        <f t="shared" ca="1" si="67"/>
        <v>78.022984484874172</v>
      </c>
      <c r="F163" s="304">
        <f t="shared" ca="1" si="68"/>
        <v>78.541513362475442</v>
      </c>
      <c r="G163" s="306">
        <f t="shared" ca="1" si="69"/>
        <v>15.59001156017845</v>
      </c>
      <c r="H163" s="307">
        <f t="shared" ca="1" si="70"/>
        <v>151.87648233867696</v>
      </c>
      <c r="I163" s="304">
        <f t="shared" ca="1" si="71"/>
        <v>152.67453732701125</v>
      </c>
      <c r="J163" s="306">
        <f t="shared" ca="1" si="72"/>
        <v>12.327630465442461</v>
      </c>
      <c r="K163" s="307">
        <f t="shared" ca="1" si="73"/>
        <v>125.85122570253425</v>
      </c>
      <c r="L163" s="304">
        <f t="shared" ca="1" si="58"/>
        <v>126.45355465040404</v>
      </c>
      <c r="M163" s="306">
        <f t="shared" ca="1" si="74"/>
        <v>1.4685053186736756</v>
      </c>
      <c r="N163" s="304">
        <f t="shared" ca="1" si="75"/>
        <v>84.139156952515606</v>
      </c>
      <c r="P163" s="310">
        <f t="shared" ca="1" si="76"/>
        <v>5</v>
      </c>
      <c r="Q163" s="304">
        <f t="shared" ca="1" si="77"/>
        <v>646.5899999999998</v>
      </c>
      <c r="R163" s="306">
        <f t="shared" ca="1" si="78"/>
        <v>0.32449339525935555</v>
      </c>
      <c r="S163" s="307">
        <f t="shared" ca="1" si="79"/>
        <v>6.5851503290953524</v>
      </c>
      <c r="T163" s="304">
        <f t="shared" ca="1" si="59"/>
        <v>64.600324728425406</v>
      </c>
      <c r="U163" s="311">
        <f t="shared" ca="1" si="60"/>
        <v>0</v>
      </c>
      <c r="V163" s="306">
        <f t="shared" ca="1" si="61"/>
        <v>1.2096796292234617</v>
      </c>
      <c r="W163" s="304">
        <f t="shared" ca="1" si="62"/>
        <v>65.826870170360408</v>
      </c>
      <c r="Y163" s="314" t="str">
        <f t="shared" ca="1" si="80"/>
        <v/>
      </c>
      <c r="Z163" s="315" t="str">
        <f t="shared" ca="1" si="81"/>
        <v/>
      </c>
      <c r="AA163" s="316" t="str">
        <f t="shared" ca="1" si="82"/>
        <v/>
      </c>
      <c r="AC163" s="310" t="e">
        <f t="shared" ca="1" si="83"/>
        <v>#N/A</v>
      </c>
      <c r="AD163" s="323" t="e">
        <f t="shared" ca="1" si="84"/>
        <v>#N/A</v>
      </c>
      <c r="AE163" s="324">
        <f t="shared" ca="1" si="63"/>
        <v>125.85122570253425</v>
      </c>
      <c r="AG163" s="306">
        <f t="shared" ca="1" si="85"/>
        <v>78.535133210409342</v>
      </c>
      <c r="AH163" s="304">
        <f t="shared" ca="1" si="86"/>
        <v>88.293920384481396</v>
      </c>
    </row>
    <row r="164" spans="1:34" x14ac:dyDescent="0.2">
      <c r="A164" s="347">
        <f t="shared" ca="1" si="64"/>
        <v>0.01</v>
      </c>
      <c r="B164" s="304">
        <f t="shared" ca="1" si="65"/>
        <v>1.6000000000000012</v>
      </c>
      <c r="D164" s="306">
        <f t="shared" ca="1" si="66"/>
        <v>8.9873898442993596</v>
      </c>
      <c r="E164" s="307">
        <f t="shared" ca="1" si="67"/>
        <v>77.744338859188844</v>
      </c>
      <c r="F164" s="304">
        <f t="shared" ca="1" si="68"/>
        <v>78.262094278557328</v>
      </c>
      <c r="G164" s="306">
        <f t="shared" ca="1" si="69"/>
        <v>15.679885458621444</v>
      </c>
      <c r="H164" s="307">
        <f t="shared" ca="1" si="70"/>
        <v>152.65392572726884</v>
      </c>
      <c r="I164" s="304">
        <f t="shared" ca="1" si="71"/>
        <v>153.45709448553364</v>
      </c>
      <c r="J164" s="306">
        <f t="shared" ca="1" si="72"/>
        <v>12.48397995053646</v>
      </c>
      <c r="K164" s="307">
        <f t="shared" ca="1" si="73"/>
        <v>127.37387774286398</v>
      </c>
      <c r="L164" s="304">
        <f t="shared" ca="1" si="58"/>
        <v>127.98419623789282</v>
      </c>
      <c r="M164" s="306">
        <f t="shared" ca="1" si="74"/>
        <v>1.4684400414220151</v>
      </c>
      <c r="N164" s="304">
        <f t="shared" ca="1" si="75"/>
        <v>84.135416841497246</v>
      </c>
      <c r="P164" s="310">
        <f t="shared" ca="1" si="76"/>
        <v>5</v>
      </c>
      <c r="Q164" s="304">
        <f t="shared" ca="1" si="77"/>
        <v>645.12999999999977</v>
      </c>
      <c r="R164" s="306">
        <f t="shared" ca="1" si="78"/>
        <v>0.32376068928326768</v>
      </c>
      <c r="S164" s="307">
        <f t="shared" ca="1" si="79"/>
        <v>6.58191272220252</v>
      </c>
      <c r="T164" s="304">
        <f t="shared" ca="1" si="59"/>
        <v>64.568563804806729</v>
      </c>
      <c r="U164" s="311">
        <f t="shared" ca="1" si="60"/>
        <v>0</v>
      </c>
      <c r="V164" s="306">
        <f t="shared" ca="1" si="61"/>
        <v>1.2094954437491172</v>
      </c>
      <c r="W164" s="304">
        <f t="shared" ca="1" si="62"/>
        <v>66.493285590795153</v>
      </c>
      <c r="Y164" s="314" t="str">
        <f t="shared" ca="1" si="80"/>
        <v/>
      </c>
      <c r="Z164" s="315" t="str">
        <f t="shared" ca="1" si="81"/>
        <v/>
      </c>
      <c r="AA164" s="316" t="str">
        <f t="shared" ca="1" si="82"/>
        <v/>
      </c>
      <c r="AC164" s="310" t="e">
        <f t="shared" ca="1" si="83"/>
        <v>#N/A</v>
      </c>
      <c r="AD164" s="323" t="e">
        <f t="shared" ca="1" si="84"/>
        <v>#N/A</v>
      </c>
      <c r="AE164" s="324">
        <f t="shared" ca="1" si="63"/>
        <v>127.37387774286398</v>
      </c>
      <c r="AG164" s="306">
        <f t="shared" ca="1" si="85"/>
        <v>78.255683157288232</v>
      </c>
      <c r="AH164" s="304">
        <f t="shared" ca="1" si="86"/>
        <v>88.014404669253324</v>
      </c>
    </row>
    <row r="165" spans="1:34" x14ac:dyDescent="0.2">
      <c r="A165" s="347">
        <f t="shared" ca="1" si="64"/>
        <v>0.01</v>
      </c>
      <c r="B165" s="304">
        <f t="shared" ca="1" si="65"/>
        <v>1.6100000000000012</v>
      </c>
      <c r="D165" s="306">
        <f t="shared" ca="1" si="66"/>
        <v>8.9644942528449238</v>
      </c>
      <c r="E165" s="307">
        <f t="shared" ca="1" si="67"/>
        <v>77.465206408084995</v>
      </c>
      <c r="F165" s="304">
        <f t="shared" ca="1" si="68"/>
        <v>77.982179765998481</v>
      </c>
      <c r="G165" s="306">
        <f t="shared" ca="1" si="69"/>
        <v>15.769530401149893</v>
      </c>
      <c r="H165" s="307">
        <f t="shared" ca="1" si="70"/>
        <v>153.42857779134968</v>
      </c>
      <c r="I165" s="304">
        <f t="shared" ca="1" si="71"/>
        <v>154.23685218568562</v>
      </c>
      <c r="J165" s="306">
        <f t="shared" ca="1" si="72"/>
        <v>12.641227029835317</v>
      </c>
      <c r="K165" s="307">
        <f t="shared" ca="1" si="73"/>
        <v>128.90429026045709</v>
      </c>
      <c r="L165" s="304">
        <f t="shared" ca="1" si="58"/>
        <v>129.52264924858514</v>
      </c>
      <c r="M165" s="306">
        <f t="shared" ca="1" si="74"/>
        <v>1.4683750528836887</v>
      </c>
      <c r="N165" s="304">
        <f t="shared" ca="1" si="75"/>
        <v>84.13169327253442</v>
      </c>
      <c r="P165" s="310">
        <f t="shared" ca="1" si="76"/>
        <v>5</v>
      </c>
      <c r="Q165" s="304">
        <f t="shared" ca="1" si="77"/>
        <v>643.66999999999985</v>
      </c>
      <c r="R165" s="306">
        <f t="shared" ca="1" si="78"/>
        <v>0.32302798330717986</v>
      </c>
      <c r="S165" s="307">
        <f t="shared" ca="1" si="79"/>
        <v>6.5786824423694483</v>
      </c>
      <c r="T165" s="304">
        <f t="shared" ca="1" si="59"/>
        <v>64.536874759644292</v>
      </c>
      <c r="U165" s="311">
        <f t="shared" ca="1" si="60"/>
        <v>0</v>
      </c>
      <c r="V165" s="306">
        <f t="shared" ca="1" si="61"/>
        <v>1.2093103476183289</v>
      </c>
      <c r="W165" s="304">
        <f t="shared" ca="1" si="62"/>
        <v>67.160464216069101</v>
      </c>
      <c r="Y165" s="314" t="str">
        <f t="shared" ca="1" si="80"/>
        <v/>
      </c>
      <c r="Z165" s="315" t="str">
        <f t="shared" ca="1" si="81"/>
        <v/>
      </c>
      <c r="AA165" s="316" t="str">
        <f t="shared" ca="1" si="82"/>
        <v/>
      </c>
      <c r="AC165" s="310" t="e">
        <f t="shared" ca="1" si="83"/>
        <v>#N/A</v>
      </c>
      <c r="AD165" s="323" t="e">
        <f t="shared" ca="1" si="84"/>
        <v>#N/A</v>
      </c>
      <c r="AE165" s="324">
        <f t="shared" ca="1" si="63"/>
        <v>128.90429026045709</v>
      </c>
      <c r="AG165" s="306">
        <f t="shared" ca="1" si="85"/>
        <v>77.975737444152259</v>
      </c>
      <c r="AH165" s="304">
        <f t="shared" ca="1" si="86"/>
        <v>87.734393545422833</v>
      </c>
    </row>
    <row r="166" spans="1:34" x14ac:dyDescent="0.2">
      <c r="A166" s="347">
        <f t="shared" ca="1" si="64"/>
        <v>0.01</v>
      </c>
      <c r="B166" s="304">
        <f t="shared" ca="1" si="65"/>
        <v>1.6200000000000012</v>
      </c>
      <c r="D166" s="306">
        <f t="shared" ca="1" si="66"/>
        <v>8.9414871814482062</v>
      </c>
      <c r="E166" s="307">
        <f t="shared" ca="1" si="67"/>
        <v>77.185593824984622</v>
      </c>
      <c r="F166" s="304">
        <f t="shared" ca="1" si="68"/>
        <v>77.701776602156954</v>
      </c>
      <c r="G166" s="306">
        <f t="shared" ca="1" si="69"/>
        <v>15.858945272964375</v>
      </c>
      <c r="H166" s="307">
        <f t="shared" ca="1" si="70"/>
        <v>154.20043372959952</v>
      </c>
      <c r="I166" s="304">
        <f t="shared" ca="1" si="71"/>
        <v>155.01380553862774</v>
      </c>
      <c r="J166" s="306">
        <f t="shared" ca="1" si="72"/>
        <v>12.799369408205889</v>
      </c>
      <c r="K166" s="307">
        <f t="shared" ca="1" si="73"/>
        <v>130.44243531806183</v>
      </c>
      <c r="L166" s="304">
        <f t="shared" ca="1" si="58"/>
        <v>131.06888566305301</v>
      </c>
      <c r="M166" s="306">
        <f t="shared" ca="1" si="74"/>
        <v>1.4683103491656457</v>
      </c>
      <c r="N166" s="304">
        <f t="shared" ca="1" si="75"/>
        <v>84.127986022571761</v>
      </c>
      <c r="P166" s="310">
        <f t="shared" ca="1" si="76"/>
        <v>5</v>
      </c>
      <c r="Q166" s="304">
        <f t="shared" ca="1" si="77"/>
        <v>642.20999999999981</v>
      </c>
      <c r="R166" s="306">
        <f t="shared" ca="1" si="78"/>
        <v>0.32229527733109198</v>
      </c>
      <c r="S166" s="307">
        <f t="shared" ca="1" si="79"/>
        <v>6.5754594895961374</v>
      </c>
      <c r="T166" s="304">
        <f t="shared" ca="1" si="59"/>
        <v>64.505257592938108</v>
      </c>
      <c r="U166" s="311">
        <f t="shared" ca="1" si="60"/>
        <v>0</v>
      </c>
      <c r="V166" s="306">
        <f t="shared" ca="1" si="61"/>
        <v>1.2091243446309679</v>
      </c>
      <c r="W166" s="304">
        <f t="shared" ca="1" si="62"/>
        <v>67.828363011984266</v>
      </c>
      <c r="Y166" s="314" t="str">
        <f t="shared" ca="1" si="80"/>
        <v/>
      </c>
      <c r="Z166" s="315" t="str">
        <f t="shared" ca="1" si="81"/>
        <v/>
      </c>
      <c r="AA166" s="316" t="str">
        <f t="shared" ca="1" si="82"/>
        <v/>
      </c>
      <c r="AC166" s="310" t="e">
        <f t="shared" ca="1" si="83"/>
        <v>#N/A</v>
      </c>
      <c r="AD166" s="323" t="e">
        <f t="shared" ca="1" si="84"/>
        <v>#N/A</v>
      </c>
      <c r="AE166" s="324">
        <f t="shared" ca="1" si="63"/>
        <v>130.44243531806183</v>
      </c>
      <c r="AG166" s="306">
        <f t="shared" ca="1" si="85"/>
        <v>77.695302845396597</v>
      </c>
      <c r="AH166" s="304">
        <f t="shared" ca="1" si="86"/>
        <v>87.453893783968851</v>
      </c>
    </row>
    <row r="167" spans="1:34" x14ac:dyDescent="0.2">
      <c r="A167" s="347">
        <f t="shared" ca="1" si="64"/>
        <v>0.01</v>
      </c>
      <c r="B167" s="304">
        <f t="shared" ca="1" si="65"/>
        <v>1.6300000000000012</v>
      </c>
      <c r="D167" s="306">
        <f t="shared" ca="1" si="66"/>
        <v>8.9183698077757576</v>
      </c>
      <c r="E167" s="307">
        <f t="shared" ca="1" si="67"/>
        <v>76.905507800155902</v>
      </c>
      <c r="F167" s="304">
        <f t="shared" ca="1" si="68"/>
        <v>77.420891560534784</v>
      </c>
      <c r="G167" s="306">
        <f t="shared" ca="1" si="69"/>
        <v>15.948128971042133</v>
      </c>
      <c r="H167" s="307">
        <f t="shared" ca="1" si="70"/>
        <v>154.9694888076011</v>
      </c>
      <c r="I167" s="304">
        <f t="shared" ca="1" si="71"/>
        <v>155.78794972322535</v>
      </c>
      <c r="J167" s="306">
        <f t="shared" ca="1" si="72"/>
        <v>12.958404779425921</v>
      </c>
      <c r="K167" s="307">
        <f t="shared" ca="1" si="73"/>
        <v>131.98828493074782</v>
      </c>
      <c r="L167" s="304">
        <f t="shared" ca="1" si="58"/>
        <v>132.62287741331704</v>
      </c>
      <c r="M167" s="306">
        <f t="shared" ca="1" si="74"/>
        <v>1.4682459264440277</v>
      </c>
      <c r="N167" s="304">
        <f t="shared" ca="1" si="75"/>
        <v>84.124294872518306</v>
      </c>
      <c r="P167" s="310">
        <f t="shared" ca="1" si="76"/>
        <v>5</v>
      </c>
      <c r="Q167" s="304">
        <f t="shared" ca="1" si="77"/>
        <v>640.74999999999977</v>
      </c>
      <c r="R167" s="306">
        <f t="shared" ca="1" si="78"/>
        <v>0.32156257135500405</v>
      </c>
      <c r="S167" s="307">
        <f t="shared" ca="1" si="79"/>
        <v>6.5722438638825871</v>
      </c>
      <c r="T167" s="304">
        <f t="shared" ca="1" si="59"/>
        <v>64.473712304688178</v>
      </c>
      <c r="U167" s="311">
        <f t="shared" ca="1" si="60"/>
        <v>0</v>
      </c>
      <c r="V167" s="306">
        <f t="shared" ca="1" si="61"/>
        <v>1.2089374385925717</v>
      </c>
      <c r="W167" s="304">
        <f t="shared" ca="1" si="62"/>
        <v>68.496939080894222</v>
      </c>
      <c r="Y167" s="314" t="str">
        <f t="shared" ca="1" si="80"/>
        <v/>
      </c>
      <c r="Z167" s="315" t="str">
        <f t="shared" ca="1" si="81"/>
        <v/>
      </c>
      <c r="AA167" s="316" t="str">
        <f t="shared" ca="1" si="82"/>
        <v/>
      </c>
      <c r="AC167" s="310" t="e">
        <f t="shared" ca="1" si="83"/>
        <v>#N/A</v>
      </c>
      <c r="AD167" s="323" t="e">
        <f t="shared" ca="1" si="84"/>
        <v>#N/A</v>
      </c>
      <c r="AE167" s="324">
        <f t="shared" ca="1" si="63"/>
        <v>131.98828493074782</v>
      </c>
      <c r="AG167" s="306">
        <f t="shared" ca="1" si="85"/>
        <v>77.414386131526669</v>
      </c>
      <c r="AH167" s="304">
        <f t="shared" ca="1" si="86"/>
        <v>87.172912152039217</v>
      </c>
    </row>
    <row r="168" spans="1:34" x14ac:dyDescent="0.2">
      <c r="A168" s="347">
        <f t="shared" ca="1" si="64"/>
        <v>0.01</v>
      </c>
      <c r="B168" s="304">
        <f t="shared" ca="1" si="65"/>
        <v>1.6400000000000012</v>
      </c>
      <c r="D168" s="306">
        <f t="shared" ca="1" si="66"/>
        <v>8.8951433012746808</v>
      </c>
      <c r="E168" s="307">
        <f t="shared" ca="1" si="67"/>
        <v>76.624955020232633</v>
      </c>
      <c r="F168" s="304">
        <f t="shared" ca="1" si="68"/>
        <v>77.139531410314433</v>
      </c>
      <c r="G168" s="306">
        <f t="shared" ca="1" si="69"/>
        <v>16.03708040405488</v>
      </c>
      <c r="H168" s="307">
        <f t="shared" ca="1" si="70"/>
        <v>155.73573835780343</v>
      </c>
      <c r="I168" s="304">
        <f t="shared" ca="1" si="71"/>
        <v>156.55927998600507</v>
      </c>
      <c r="J168" s="306">
        <f t="shared" ca="1" si="72"/>
        <v>13.118330826301406</v>
      </c>
      <c r="K168" s="307">
        <f t="shared" ca="1" si="73"/>
        <v>133.54181106657484</v>
      </c>
      <c r="L168" s="304">
        <f t="shared" ca="1" si="58"/>
        <v>134.18459638352331</v>
      </c>
      <c r="M168" s="306">
        <f t="shared" ca="1" si="74"/>
        <v>1.4681817809624917</v>
      </c>
      <c r="N168" s="304">
        <f t="shared" ca="1" si="75"/>
        <v>84.120619607151454</v>
      </c>
      <c r="P168" s="310">
        <f t="shared" ca="1" si="76"/>
        <v>5</v>
      </c>
      <c r="Q168" s="304">
        <f t="shared" ca="1" si="77"/>
        <v>639.28999999999985</v>
      </c>
      <c r="R168" s="306">
        <f t="shared" ca="1" si="78"/>
        <v>0.32082986537891622</v>
      </c>
      <c r="S168" s="307">
        <f t="shared" ca="1" si="79"/>
        <v>6.5690355652287975</v>
      </c>
      <c r="T168" s="304">
        <f t="shared" ca="1" si="59"/>
        <v>64.442238894894501</v>
      </c>
      <c r="U168" s="311">
        <f t="shared" ca="1" si="60"/>
        <v>0</v>
      </c>
      <c r="V168" s="306">
        <f t="shared" ca="1" si="61"/>
        <v>1.2087496333142305</v>
      </c>
      <c r="W168" s="304">
        <f t="shared" ca="1" si="62"/>
        <v>69.166149664178945</v>
      </c>
      <c r="Y168" s="314" t="str">
        <f t="shared" ca="1" si="80"/>
        <v/>
      </c>
      <c r="Z168" s="315" t="str">
        <f t="shared" ca="1" si="81"/>
        <v/>
      </c>
      <c r="AA168" s="316" t="str">
        <f t="shared" ca="1" si="82"/>
        <v/>
      </c>
      <c r="AC168" s="310" t="e">
        <f t="shared" ca="1" si="83"/>
        <v>#N/A</v>
      </c>
      <c r="AD168" s="323" t="e">
        <f t="shared" ca="1" si="84"/>
        <v>#N/A</v>
      </c>
      <c r="AE168" s="324">
        <f t="shared" ca="1" si="63"/>
        <v>133.54181106657484</v>
      </c>
      <c r="AG168" s="306">
        <f t="shared" ca="1" si="85"/>
        <v>77.13299406869379</v>
      </c>
      <c r="AH168" s="304">
        <f t="shared" ca="1" si="86"/>
        <v>86.891455412484902</v>
      </c>
    </row>
    <row r="169" spans="1:34" x14ac:dyDescent="0.2">
      <c r="A169" s="347">
        <f t="shared" ca="1" si="64"/>
        <v>0.01</v>
      </c>
      <c r="B169" s="304">
        <f t="shared" ca="1" si="65"/>
        <v>1.6500000000000012</v>
      </c>
      <c r="D169" s="306">
        <f t="shared" ca="1" si="66"/>
        <v>8.8718088233281964</v>
      </c>
      <c r="E169" s="307">
        <f t="shared" ca="1" si="67"/>
        <v>76.343942167737012</v>
      </c>
      <c r="F169" s="304">
        <f t="shared" ca="1" si="68"/>
        <v>76.857702915898145</v>
      </c>
      <c r="G169" s="306">
        <f t="shared" ca="1" si="69"/>
        <v>16.125798492288162</v>
      </c>
      <c r="H169" s="307">
        <f t="shared" ca="1" si="70"/>
        <v>156.49917777948079</v>
      </c>
      <c r="I169" s="304">
        <f t="shared" ca="1" si="71"/>
        <v>157.3277916411065</v>
      </c>
      <c r="J169" s="306">
        <f t="shared" ca="1" si="72"/>
        <v>13.279145220783121</v>
      </c>
      <c r="K169" s="307">
        <f t="shared" ca="1" si="73"/>
        <v>135.10298564726125</v>
      </c>
      <c r="L169" s="304">
        <f t="shared" ca="1" si="58"/>
        <v>135.75401441061965</v>
      </c>
      <c r="M169" s="306">
        <f t="shared" ca="1" si="74"/>
        <v>1.4681179090305838</v>
      </c>
      <c r="N169" s="304">
        <f t="shared" ca="1" si="75"/>
        <v>84.116960015023778</v>
      </c>
      <c r="P169" s="310">
        <f t="shared" ca="1" si="76"/>
        <v>5</v>
      </c>
      <c r="Q169" s="304">
        <f t="shared" ca="1" si="77"/>
        <v>637.82999999999981</v>
      </c>
      <c r="R169" s="306">
        <f t="shared" ca="1" si="78"/>
        <v>0.32009715940282835</v>
      </c>
      <c r="S169" s="307">
        <f t="shared" ca="1" si="79"/>
        <v>6.5658345936347695</v>
      </c>
      <c r="T169" s="304">
        <f t="shared" ca="1" si="59"/>
        <v>64.410837363557093</v>
      </c>
      <c r="U169" s="311">
        <f t="shared" ca="1" si="60"/>
        <v>0</v>
      </c>
      <c r="V169" s="306">
        <f t="shared" ca="1" si="61"/>
        <v>1.2085609326124764</v>
      </c>
      <c r="W169" s="304">
        <f t="shared" ca="1" si="62"/>
        <v>69.835952144693735</v>
      </c>
      <c r="Y169" s="314" t="str">
        <f t="shared" ca="1" si="80"/>
        <v/>
      </c>
      <c r="Z169" s="315" t="str">
        <f t="shared" ca="1" si="81"/>
        <v/>
      </c>
      <c r="AA169" s="316" t="str">
        <f t="shared" ca="1" si="82"/>
        <v/>
      </c>
      <c r="AC169" s="310" t="e">
        <f t="shared" ca="1" si="83"/>
        <v>#N/A</v>
      </c>
      <c r="AD169" s="323" t="e">
        <f t="shared" ca="1" si="84"/>
        <v>#N/A</v>
      </c>
      <c r="AE169" s="324">
        <f t="shared" ca="1" si="63"/>
        <v>135.10298564726125</v>
      </c>
      <c r="AG169" s="306">
        <f t="shared" ca="1" si="85"/>
        <v>76.851133418233729</v>
      </c>
      <c r="AH169" s="304">
        <f t="shared" ca="1" si="86"/>
        <v>86.609530323397195</v>
      </c>
    </row>
    <row r="170" spans="1:34" x14ac:dyDescent="0.2">
      <c r="A170" s="347">
        <f t="shared" ca="1" si="64"/>
        <v>0.01</v>
      </c>
      <c r="B170" s="304">
        <f t="shared" ca="1" si="65"/>
        <v>1.6600000000000013</v>
      </c>
      <c r="D170" s="306">
        <f t="shared" ca="1" si="66"/>
        <v>8.8483675274050722</v>
      </c>
      <c r="E170" s="307">
        <f t="shared" ca="1" si="67"/>
        <v>76.062475920605536</v>
      </c>
      <c r="F170" s="304">
        <f t="shared" ca="1" si="68"/>
        <v>76.575412836449885</v>
      </c>
      <c r="G170" s="306">
        <f t="shared" ca="1" si="69"/>
        <v>16.214282167562214</v>
      </c>
      <c r="H170" s="307">
        <f t="shared" ca="1" si="70"/>
        <v>157.25980253868684</v>
      </c>
      <c r="I170" s="304">
        <f t="shared" ca="1" si="71"/>
        <v>158.09348007022967</v>
      </c>
      <c r="J170" s="306">
        <f t="shared" ca="1" si="72"/>
        <v>13.440845624082373</v>
      </c>
      <c r="K170" s="307">
        <f t="shared" ca="1" si="73"/>
        <v>136.6717805488521</v>
      </c>
      <c r="L170" s="304">
        <f t="shared" ca="1" si="58"/>
        <v>137.33110328503153</v>
      </c>
      <c r="M170" s="306">
        <f t="shared" ca="1" si="74"/>
        <v>1.468054307022161</v>
      </c>
      <c r="N170" s="304">
        <f t="shared" ca="1" si="75"/>
        <v>84.113315888372597</v>
      </c>
      <c r="P170" s="310">
        <f t="shared" ca="1" si="76"/>
        <v>5</v>
      </c>
      <c r="Q170" s="304">
        <f t="shared" ca="1" si="77"/>
        <v>636.36999999999978</v>
      </c>
      <c r="R170" s="306">
        <f t="shared" ca="1" si="78"/>
        <v>0.31936445342674041</v>
      </c>
      <c r="S170" s="307">
        <f t="shared" ca="1" si="79"/>
        <v>6.5626409491005022</v>
      </c>
      <c r="T170" s="304">
        <f t="shared" ca="1" si="59"/>
        <v>64.379507710675924</v>
      </c>
      <c r="U170" s="311">
        <f t="shared" ca="1" si="60"/>
        <v>0</v>
      </c>
      <c r="V170" s="306">
        <f t="shared" ca="1" si="61"/>
        <v>1.20837134030917</v>
      </c>
      <c r="W170" s="304">
        <f t="shared" ca="1" si="62"/>
        <v>70.506304049191598</v>
      </c>
      <c r="Y170" s="314" t="str">
        <f t="shared" ca="1" si="80"/>
        <v/>
      </c>
      <c r="Z170" s="315" t="str">
        <f t="shared" ca="1" si="81"/>
        <v/>
      </c>
      <c r="AA170" s="316" t="str">
        <f t="shared" ca="1" si="82"/>
        <v/>
      </c>
      <c r="AC170" s="310" t="e">
        <f t="shared" ca="1" si="83"/>
        <v>#N/A</v>
      </c>
      <c r="AD170" s="323" t="e">
        <f t="shared" ca="1" si="84"/>
        <v>#N/A</v>
      </c>
      <c r="AE170" s="324">
        <f t="shared" ca="1" si="63"/>
        <v>136.6717805488521</v>
      </c>
      <c r="AG170" s="306">
        <f t="shared" ca="1" si="85"/>
        <v>76.568810936207711</v>
      </c>
      <c r="AH170" s="304">
        <f t="shared" ca="1" si="86"/>
        <v>86.327143637647453</v>
      </c>
    </row>
    <row r="171" spans="1:34" x14ac:dyDescent="0.2">
      <c r="A171" s="347">
        <f t="shared" ca="1" si="64"/>
        <v>0.01</v>
      </c>
      <c r="B171" s="304">
        <f t="shared" ca="1" si="65"/>
        <v>1.6700000000000013</v>
      </c>
      <c r="D171" s="306">
        <f t="shared" ca="1" si="66"/>
        <v>8.8248205592033067</v>
      </c>
      <c r="E171" s="307">
        <f t="shared" ca="1" si="67"/>
        <v>75.780562951718181</v>
      </c>
      <c r="F171" s="304">
        <f t="shared" ca="1" si="68"/>
        <v>76.292667925439986</v>
      </c>
      <c r="G171" s="306">
        <f t="shared" ca="1" si="69"/>
        <v>16.302530373154248</v>
      </c>
      <c r="H171" s="307">
        <f t="shared" ca="1" si="70"/>
        <v>158.01760816820402</v>
      </c>
      <c r="I171" s="304">
        <f t="shared" ca="1" si="71"/>
        <v>158.85634072257761</v>
      </c>
      <c r="J171" s="306">
        <f t="shared" ca="1" si="72"/>
        <v>13.603429686785955</v>
      </c>
      <c r="K171" s="307">
        <f t="shared" ca="1" si="73"/>
        <v>138.24816760238656</v>
      </c>
      <c r="L171" s="304">
        <f t="shared" ca="1" si="58"/>
        <v>138.91583475133746</v>
      </c>
      <c r="M171" s="306">
        <f t="shared" ca="1" si="74"/>
        <v>1.4679909713738613</v>
      </c>
      <c r="N171" s="304">
        <f t="shared" ca="1" si="75"/>
        <v>84.109687023032293</v>
      </c>
      <c r="P171" s="310">
        <f t="shared" ca="1" si="76"/>
        <v>5</v>
      </c>
      <c r="Q171" s="304">
        <f t="shared" ca="1" si="77"/>
        <v>634.90999999999985</v>
      </c>
      <c r="R171" s="306">
        <f t="shared" ca="1" si="78"/>
        <v>0.31863174745065259</v>
      </c>
      <c r="S171" s="307">
        <f t="shared" ca="1" si="79"/>
        <v>6.5594546316259956</v>
      </c>
      <c r="T171" s="304">
        <f t="shared" ca="1" si="59"/>
        <v>64.348249936251023</v>
      </c>
      <c r="U171" s="311">
        <f t="shared" ca="1" si="60"/>
        <v>0</v>
      </c>
      <c r="V171" s="306">
        <f t="shared" ca="1" si="61"/>
        <v>1.2081808602313908</v>
      </c>
      <c r="W171" s="304">
        <f t="shared" ca="1" si="62"/>
        <v>71.177163050719159</v>
      </c>
      <c r="Y171" s="314" t="str">
        <f t="shared" ca="1" si="80"/>
        <v/>
      </c>
      <c r="Z171" s="315" t="str">
        <f t="shared" ca="1" si="81"/>
        <v/>
      </c>
      <c r="AA171" s="316" t="str">
        <f t="shared" ca="1" si="82"/>
        <v/>
      </c>
      <c r="AC171" s="310" t="e">
        <f t="shared" ca="1" si="83"/>
        <v>#N/A</v>
      </c>
      <c r="AD171" s="323" t="e">
        <f t="shared" ca="1" si="84"/>
        <v>#N/A</v>
      </c>
      <c r="AE171" s="324">
        <f t="shared" ca="1" si="63"/>
        <v>138.24816760238656</v>
      </c>
      <c r="AG171" s="306">
        <f t="shared" ca="1" si="85"/>
        <v>76.286033372946264</v>
      </c>
      <c r="AH171" s="304">
        <f t="shared" ca="1" si="86"/>
        <v>86.044302102429597</v>
      </c>
    </row>
    <row r="172" spans="1:34" x14ac:dyDescent="0.2">
      <c r="A172" s="347">
        <f t="shared" ca="1" si="64"/>
        <v>0.01</v>
      </c>
      <c r="B172" s="304">
        <f t="shared" ca="1" si="65"/>
        <v>1.6800000000000013</v>
      </c>
      <c r="D172" s="306">
        <f t="shared" ca="1" si="66"/>
        <v>8.8011690567880905</v>
      </c>
      <c r="E172" s="307">
        <f t="shared" ca="1" si="67"/>
        <v>75.498209928430782</v>
      </c>
      <c r="F172" s="304">
        <f t="shared" ca="1" si="68"/>
        <v>76.009474930192539</v>
      </c>
      <c r="G172" s="306">
        <f t="shared" ca="1" si="69"/>
        <v>16.39054206372213</v>
      </c>
      <c r="H172" s="307">
        <f t="shared" ca="1" si="70"/>
        <v>158.77259026748834</v>
      </c>
      <c r="I172" s="304">
        <f t="shared" ca="1" si="71"/>
        <v>159.61636911479468</v>
      </c>
      <c r="J172" s="306">
        <f t="shared" ca="1" si="72"/>
        <v>13.766895048970337</v>
      </c>
      <c r="K172" s="307">
        <f t="shared" ca="1" si="73"/>
        <v>139.83211859456503</v>
      </c>
      <c r="L172" s="304">
        <f t="shared" ca="1" si="58"/>
        <v>140.50818050894355</v>
      </c>
      <c r="M172" s="306">
        <f t="shared" ca="1" si="74"/>
        <v>1.4679278985836171</v>
      </c>
      <c r="N172" s="304">
        <f t="shared" ca="1" si="75"/>
        <v>84.106073218349195</v>
      </c>
      <c r="P172" s="310">
        <f t="shared" ca="1" si="76"/>
        <v>5</v>
      </c>
      <c r="Q172" s="304">
        <f t="shared" ca="1" si="77"/>
        <v>633.44999999999982</v>
      </c>
      <c r="R172" s="306">
        <f t="shared" ca="1" si="78"/>
        <v>0.31789904147456471</v>
      </c>
      <c r="S172" s="307">
        <f t="shared" ca="1" si="79"/>
        <v>6.5562756412112497</v>
      </c>
      <c r="T172" s="304">
        <f t="shared" ca="1" si="59"/>
        <v>64.317064040282361</v>
      </c>
      <c r="U172" s="311">
        <f t="shared" ca="1" si="60"/>
        <v>0</v>
      </c>
      <c r="V172" s="306">
        <f t="shared" ca="1" si="61"/>
        <v>1.2079894962113225</v>
      </c>
      <c r="W172" s="304">
        <f t="shared" ca="1" si="62"/>
        <v>71.848486970985959</v>
      </c>
      <c r="Y172" s="314" t="str">
        <f t="shared" ca="1" si="80"/>
        <v/>
      </c>
      <c r="Z172" s="315" t="str">
        <f t="shared" ca="1" si="81"/>
        <v/>
      </c>
      <c r="AA172" s="316" t="str">
        <f t="shared" ca="1" si="82"/>
        <v/>
      </c>
      <c r="AC172" s="310" t="e">
        <f t="shared" ca="1" si="83"/>
        <v>#N/A</v>
      </c>
      <c r="AD172" s="323" t="e">
        <f t="shared" ca="1" si="84"/>
        <v>#N/A</v>
      </c>
      <c r="AE172" s="324">
        <f t="shared" ca="1" si="63"/>
        <v>139.83211859456503</v>
      </c>
      <c r="AG172" s="306">
        <f t="shared" ca="1" si="85"/>
        <v>76.002807472595748</v>
      </c>
      <c r="AH172" s="304">
        <f t="shared" ca="1" si="86"/>
        <v>85.761012458805439</v>
      </c>
    </row>
    <row r="173" spans="1:34" x14ac:dyDescent="0.2">
      <c r="A173" s="347">
        <f t="shared" ca="1" si="64"/>
        <v>0.01</v>
      </c>
      <c r="B173" s="304">
        <f t="shared" ca="1" si="65"/>
        <v>1.6900000000000013</v>
      </c>
      <c r="D173" s="306">
        <f t="shared" ca="1" si="66"/>
        <v>8.777414150724546</v>
      </c>
      <c r="E173" s="307">
        <f t="shared" ca="1" si="67"/>
        <v>75.215423512110874</v>
      </c>
      <c r="F173" s="304">
        <f t="shared" ca="1" si="68"/>
        <v>75.72584059143577</v>
      </c>
      <c r="G173" s="306">
        <f t="shared" ca="1" si="69"/>
        <v>16.478316205229376</v>
      </c>
      <c r="H173" s="307">
        <f t="shared" ca="1" si="70"/>
        <v>159.52474450260945</v>
      </c>
      <c r="I173" s="304">
        <f t="shared" ca="1" si="71"/>
        <v>160.37356083089989</v>
      </c>
      <c r="J173" s="306">
        <f t="shared" ca="1" si="72"/>
        <v>13.931239340315095</v>
      </c>
      <c r="K173" s="307">
        <f t="shared" ca="1" si="73"/>
        <v>141.42360526841551</v>
      </c>
      <c r="L173" s="304">
        <f t="shared" ca="1" si="58"/>
        <v>142.10811221275776</v>
      </c>
      <c r="M173" s="306">
        <f t="shared" ca="1" si="74"/>
        <v>1.4678650852092141</v>
      </c>
      <c r="N173" s="304">
        <f t="shared" ca="1" si="75"/>
        <v>84.102474277098921</v>
      </c>
      <c r="P173" s="310">
        <f t="shared" ca="1" si="76"/>
        <v>5</v>
      </c>
      <c r="Q173" s="304">
        <f t="shared" ca="1" si="77"/>
        <v>631.98999999999978</v>
      </c>
      <c r="R173" s="306">
        <f t="shared" ca="1" si="78"/>
        <v>0.31716633549847684</v>
      </c>
      <c r="S173" s="307">
        <f t="shared" ca="1" si="79"/>
        <v>6.5531039778562645</v>
      </c>
      <c r="T173" s="304">
        <f t="shared" ca="1" si="59"/>
        <v>64.285950022769953</v>
      </c>
      <c r="U173" s="311">
        <f t="shared" ca="1" si="60"/>
        <v>0</v>
      </c>
      <c r="V173" s="306">
        <f t="shared" ca="1" si="61"/>
        <v>1.2077972520861442</v>
      </c>
      <c r="W173" s="304">
        <f t="shared" ca="1" si="62"/>
        <v>72.520233782706498</v>
      </c>
      <c r="Y173" s="314" t="str">
        <f t="shared" ca="1" si="80"/>
        <v/>
      </c>
      <c r="Z173" s="315" t="str">
        <f t="shared" ca="1" si="81"/>
        <v/>
      </c>
      <c r="AA173" s="316" t="str">
        <f t="shared" ca="1" si="82"/>
        <v/>
      </c>
      <c r="AC173" s="310" t="e">
        <f t="shared" ca="1" si="83"/>
        <v>#N/A</v>
      </c>
      <c r="AD173" s="323" t="e">
        <f t="shared" ca="1" si="84"/>
        <v>#N/A</v>
      </c>
      <c r="AE173" s="324">
        <f t="shared" ca="1" si="63"/>
        <v>141.42360526841551</v>
      </c>
      <c r="AG173" s="306">
        <f t="shared" ca="1" si="85"/>
        <v>75.719139972667818</v>
      </c>
      <c r="AH173" s="304">
        <f t="shared" ca="1" si="86"/>
        <v>85.477281441252899</v>
      </c>
    </row>
    <row r="174" spans="1:34" x14ac:dyDescent="0.2">
      <c r="A174" s="347">
        <f t="shared" ca="1" si="64"/>
        <v>0.01</v>
      </c>
      <c r="B174" s="304">
        <f t="shared" ca="1" si="65"/>
        <v>1.7000000000000013</v>
      </c>
      <c r="D174" s="306">
        <f t="shared" ca="1" si="66"/>
        <v>8.7535569642051296</v>
      </c>
      <c r="E174" s="307">
        <f t="shared" ca="1" si="67"/>
        <v>74.932210357676666</v>
      </c>
      <c r="F174" s="304">
        <f t="shared" ca="1" si="68"/>
        <v>75.441771642855073</v>
      </c>
      <c r="G174" s="306">
        <f t="shared" ca="1" si="69"/>
        <v>16.565851774871426</v>
      </c>
      <c r="H174" s="307">
        <f t="shared" ca="1" si="70"/>
        <v>160.27406660618621</v>
      </c>
      <c r="I174" s="304">
        <f t="shared" ca="1" si="71"/>
        <v>161.12791152221649</v>
      </c>
      <c r="J174" s="306">
        <f t="shared" ca="1" si="72"/>
        <v>14.096460180215599</v>
      </c>
      <c r="K174" s="307">
        <f t="shared" ca="1" si="73"/>
        <v>143.0225993239595</v>
      </c>
      <c r="L174" s="304">
        <f t="shared" ca="1" si="58"/>
        <v>143.71560147386319</v>
      </c>
      <c r="M174" s="306">
        <f t="shared" ca="1" si="74"/>
        <v>1.4678025278668916</v>
      </c>
      <c r="N174" s="304">
        <f t="shared" ca="1" si="75"/>
        <v>84.09889000540629</v>
      </c>
      <c r="P174" s="310">
        <f t="shared" ca="1" si="76"/>
        <v>5</v>
      </c>
      <c r="Q174" s="304">
        <f t="shared" ca="1" si="77"/>
        <v>630.52999999999975</v>
      </c>
      <c r="R174" s="306">
        <f t="shared" ca="1" si="78"/>
        <v>0.3164336295223889</v>
      </c>
      <c r="S174" s="307">
        <f t="shared" ca="1" si="79"/>
        <v>6.5499396415610409</v>
      </c>
      <c r="T174" s="304">
        <f t="shared" ca="1" si="59"/>
        <v>64.254907883713813</v>
      </c>
      <c r="U174" s="311">
        <f t="shared" ca="1" si="60"/>
        <v>0</v>
      </c>
      <c r="V174" s="306">
        <f t="shared" ca="1" si="61"/>
        <v>1.2076041316979182</v>
      </c>
      <c r="W174" s="304">
        <f t="shared" ca="1" si="62"/>
        <v>73.192361611916041</v>
      </c>
      <c r="Y174" s="314" t="str">
        <f t="shared" ca="1" si="80"/>
        <v/>
      </c>
      <c r="Z174" s="315" t="str">
        <f t="shared" ca="1" si="81"/>
        <v/>
      </c>
      <c r="AA174" s="316" t="str">
        <f t="shared" ca="1" si="82"/>
        <v/>
      </c>
      <c r="AC174" s="310" t="e">
        <f t="shared" ca="1" si="83"/>
        <v>#N/A</v>
      </c>
      <c r="AD174" s="323" t="e">
        <f t="shared" ca="1" si="84"/>
        <v>#N/A</v>
      </c>
      <c r="AE174" s="324">
        <f t="shared" ca="1" si="63"/>
        <v>143.0225993239595</v>
      </c>
      <c r="AG174" s="306">
        <f t="shared" ca="1" si="85"/>
        <v>75.435037603591582</v>
      </c>
      <c r="AH174" s="304">
        <f t="shared" ca="1" si="86"/>
        <v>85.193115777217031</v>
      </c>
    </row>
    <row r="175" spans="1:34" x14ac:dyDescent="0.2">
      <c r="A175" s="347">
        <f t="shared" ca="1" si="64"/>
        <v>0.01</v>
      </c>
      <c r="B175" s="304">
        <f t="shared" ca="1" si="65"/>
        <v>1.7100000000000013</v>
      </c>
      <c r="D175" s="306">
        <f t="shared" ca="1" si="66"/>
        <v>8.7295986131721186</v>
      </c>
      <c r="E175" s="307">
        <f t="shared" ca="1" si="67"/>
        <v>74.648577113139552</v>
      </c>
      <c r="F175" s="304">
        <f t="shared" ca="1" si="68"/>
        <v>75.157274810649156</v>
      </c>
      <c r="G175" s="306">
        <f t="shared" ca="1" si="69"/>
        <v>16.653147761003147</v>
      </c>
      <c r="H175" s="307">
        <f t="shared" ca="1" si="70"/>
        <v>161.02055237731761</v>
      </c>
      <c r="I175" s="304">
        <f t="shared" ca="1" si="71"/>
        <v>161.87941690729642</v>
      </c>
      <c r="J175" s="306">
        <f t="shared" ca="1" si="72"/>
        <v>14.262555177894972</v>
      </c>
      <c r="K175" s="307">
        <f t="shared" ca="1" si="73"/>
        <v>144.62907241887703</v>
      </c>
      <c r="L175" s="304">
        <f t="shared" ca="1" si="58"/>
        <v>145.33061986019075</v>
      </c>
      <c r="M175" s="306">
        <f t="shared" ca="1" si="74"/>
        <v>1.467740223229983</v>
      </c>
      <c r="N175" s="304">
        <f t="shared" ca="1" si="75"/>
        <v>84.095320212667332</v>
      </c>
      <c r="P175" s="310">
        <f t="shared" ca="1" si="76"/>
        <v>5</v>
      </c>
      <c r="Q175" s="304">
        <f t="shared" ca="1" si="77"/>
        <v>629.06999999999982</v>
      </c>
      <c r="R175" s="306">
        <f t="shared" ca="1" si="78"/>
        <v>0.31570092354630108</v>
      </c>
      <c r="S175" s="307">
        <f t="shared" ca="1" si="79"/>
        <v>6.546782632325578</v>
      </c>
      <c r="T175" s="304">
        <f t="shared" ca="1" si="59"/>
        <v>64.223937623113926</v>
      </c>
      <c r="U175" s="311">
        <f t="shared" ca="1" si="60"/>
        <v>0</v>
      </c>
      <c r="V175" s="306">
        <f t="shared" ca="1" si="61"/>
        <v>1.2074101388934784</v>
      </c>
      <c r="W175" s="304">
        <f t="shared" ca="1" si="62"/>
        <v>73.86482874025846</v>
      </c>
      <c r="Y175" s="314" t="str">
        <f t="shared" ca="1" si="80"/>
        <v/>
      </c>
      <c r="Z175" s="315" t="str">
        <f t="shared" ca="1" si="81"/>
        <v/>
      </c>
      <c r="AA175" s="316" t="str">
        <f t="shared" ca="1" si="82"/>
        <v/>
      </c>
      <c r="AC175" s="310" t="e">
        <f t="shared" ca="1" si="83"/>
        <v>#N/A</v>
      </c>
      <c r="AD175" s="323" t="e">
        <f t="shared" ca="1" si="84"/>
        <v>#N/A</v>
      </c>
      <c r="AE175" s="324">
        <f t="shared" ca="1" si="63"/>
        <v>144.62907241887703</v>
      </c>
      <c r="AG175" s="306">
        <f t="shared" ca="1" si="85"/>
        <v>75.150507088268867</v>
      </c>
      <c r="AH175" s="304">
        <f t="shared" ca="1" si="86"/>
        <v>84.908522186664143</v>
      </c>
    </row>
    <row r="176" spans="1:34" x14ac:dyDescent="0.2">
      <c r="A176" s="347">
        <f t="shared" ca="1" si="64"/>
        <v>0.01</v>
      </c>
      <c r="B176" s="304">
        <f t="shared" ca="1" si="65"/>
        <v>1.7200000000000013</v>
      </c>
      <c r="D176" s="306">
        <f t="shared" ca="1" si="66"/>
        <v>8.7055402064352734</v>
      </c>
      <c r="E176" s="307">
        <f t="shared" ca="1" si="67"/>
        <v>74.364530419149801</v>
      </c>
      <c r="F176" s="304">
        <f t="shared" ca="1" si="68"/>
        <v>74.872356813089013</v>
      </c>
      <c r="G176" s="306">
        <f t="shared" ca="1" si="69"/>
        <v>16.740203163067498</v>
      </c>
      <c r="H176" s="307">
        <f t="shared" ca="1" si="70"/>
        <v>161.7641976815091</v>
      </c>
      <c r="I176" s="304">
        <f t="shared" ca="1" si="71"/>
        <v>162.62807277184075</v>
      </c>
      <c r="J176" s="306">
        <f t="shared" ca="1" si="72"/>
        <v>14.429521932515325</v>
      </c>
      <c r="K176" s="307">
        <f t="shared" ca="1" si="73"/>
        <v>146.24299616917116</v>
      </c>
      <c r="L176" s="304">
        <f t="shared" ca="1" si="58"/>
        <v>146.95313889719114</v>
      </c>
      <c r="M176" s="306">
        <f t="shared" ca="1" si="74"/>
        <v>1.4676781680275961</v>
      </c>
      <c r="N176" s="304">
        <f t="shared" ca="1" si="75"/>
        <v>84.091764711473729</v>
      </c>
      <c r="P176" s="310">
        <f t="shared" ca="1" si="76"/>
        <v>5</v>
      </c>
      <c r="Q176" s="304">
        <f t="shared" ca="1" si="77"/>
        <v>627.60999999999979</v>
      </c>
      <c r="R176" s="306">
        <f t="shared" ca="1" si="78"/>
        <v>0.3149682175702132</v>
      </c>
      <c r="S176" s="307">
        <f t="shared" ca="1" si="79"/>
        <v>6.5436329501498758</v>
      </c>
      <c r="T176" s="304">
        <f t="shared" ca="1" si="59"/>
        <v>64.193039240970279</v>
      </c>
      <c r="U176" s="311">
        <f t="shared" ca="1" si="60"/>
        <v>0</v>
      </c>
      <c r="V176" s="306">
        <f t="shared" ca="1" si="61"/>
        <v>1.2072152775243208</v>
      </c>
      <c r="W176" s="304">
        <f t="shared" ca="1" si="62"/>
        <v>74.537593607247402</v>
      </c>
      <c r="Y176" s="314" t="str">
        <f t="shared" ca="1" si="80"/>
        <v/>
      </c>
      <c r="Z176" s="315" t="str">
        <f t="shared" ca="1" si="81"/>
        <v/>
      </c>
      <c r="AA176" s="316" t="str">
        <f t="shared" ca="1" si="82"/>
        <v/>
      </c>
      <c r="AC176" s="310" t="e">
        <f t="shared" ca="1" si="83"/>
        <v>#N/A</v>
      </c>
      <c r="AD176" s="323" t="e">
        <f t="shared" ca="1" si="84"/>
        <v>#N/A</v>
      </c>
      <c r="AE176" s="324">
        <f t="shared" ca="1" si="63"/>
        <v>146.24299616917116</v>
      </c>
      <c r="AG176" s="306">
        <f t="shared" ca="1" si="85"/>
        <v>74.865555141632143</v>
      </c>
      <c r="AH176" s="304">
        <f t="shared" ca="1" si="86"/>
        <v>84.623507381638561</v>
      </c>
    </row>
    <row r="177" spans="1:34" x14ac:dyDescent="0.2">
      <c r="A177" s="347">
        <f t="shared" ca="1" si="64"/>
        <v>0.01</v>
      </c>
      <c r="B177" s="304">
        <f t="shared" ca="1" si="65"/>
        <v>1.7300000000000013</v>
      </c>
      <c r="D177" s="306">
        <f t="shared" ca="1" si="66"/>
        <v>8.6813828457849294</v>
      </c>
      <c r="E177" s="307">
        <f t="shared" ca="1" si="67"/>
        <v>74.080076908545905</v>
      </c>
      <c r="F177" s="304">
        <f t="shared" ca="1" si="68"/>
        <v>74.58702436007998</v>
      </c>
      <c r="G177" s="306">
        <f t="shared" ca="1" si="69"/>
        <v>16.827016991525348</v>
      </c>
      <c r="H177" s="307">
        <f t="shared" ca="1" si="70"/>
        <v>162.50499845059457</v>
      </c>
      <c r="I177" s="304">
        <f t="shared" ca="1" si="71"/>
        <v>163.37387496861555</v>
      </c>
      <c r="J177" s="306">
        <f t="shared" ca="1" si="72"/>
        <v>14.597358033288289</v>
      </c>
      <c r="K177" s="307">
        <f t="shared" ca="1" si="73"/>
        <v>147.86434214983169</v>
      </c>
      <c r="L177" s="304">
        <f t="shared" ca="1" si="58"/>
        <v>148.58313006850574</v>
      </c>
      <c r="M177" s="306">
        <f t="shared" ca="1" si="74"/>
        <v>1.4676163590433315</v>
      </c>
      <c r="N177" s="304">
        <f t="shared" ca="1" si="75"/>
        <v>84.088223317539388</v>
      </c>
      <c r="P177" s="310">
        <f t="shared" ca="1" si="76"/>
        <v>5</v>
      </c>
      <c r="Q177" s="304">
        <f t="shared" ca="1" si="77"/>
        <v>626.14999999999975</v>
      </c>
      <c r="R177" s="306">
        <f t="shared" ca="1" si="78"/>
        <v>0.31423551159412527</v>
      </c>
      <c r="S177" s="307">
        <f t="shared" ca="1" si="79"/>
        <v>6.5404905950339343</v>
      </c>
      <c r="T177" s="304">
        <f t="shared" ca="1" si="59"/>
        <v>64.1622127372829</v>
      </c>
      <c r="U177" s="311">
        <f t="shared" ca="1" si="60"/>
        <v>0</v>
      </c>
      <c r="V177" s="306">
        <f t="shared" ca="1" si="61"/>
        <v>1.2070195514464919</v>
      </c>
      <c r="W177" s="304">
        <f t="shared" ca="1" si="62"/>
        <v>75.210614812499628</v>
      </c>
      <c r="Y177" s="314" t="str">
        <f t="shared" ca="1" si="80"/>
        <v/>
      </c>
      <c r="Z177" s="315" t="str">
        <f t="shared" ca="1" si="81"/>
        <v/>
      </c>
      <c r="AA177" s="316" t="str">
        <f t="shared" ca="1" si="82"/>
        <v/>
      </c>
      <c r="AC177" s="310" t="e">
        <f t="shared" ca="1" si="83"/>
        <v>#N/A</v>
      </c>
      <c r="AD177" s="323" t="e">
        <f t="shared" ca="1" si="84"/>
        <v>#N/A</v>
      </c>
      <c r="AE177" s="324">
        <f t="shared" ca="1" si="63"/>
        <v>147.86434214983169</v>
      </c>
      <c r="AG177" s="306">
        <f t="shared" ca="1" si="85"/>
        <v>74.580188470205798</v>
      </c>
      <c r="AH177" s="304">
        <f t="shared" ca="1" si="86"/>
        <v>84.338078065822884</v>
      </c>
    </row>
    <row r="178" spans="1:34" x14ac:dyDescent="0.2">
      <c r="A178" s="347">
        <f t="shared" ca="1" si="64"/>
        <v>0.01</v>
      </c>
      <c r="B178" s="304">
        <f t="shared" ca="1" si="65"/>
        <v>1.7400000000000013</v>
      </c>
      <c r="D178" s="306">
        <f t="shared" ca="1" si="66"/>
        <v>8.6571276261005448</v>
      </c>
      <c r="E178" s="307">
        <f t="shared" ca="1" si="67"/>
        <v>73.795223205907163</v>
      </c>
      <c r="F178" s="304">
        <f t="shared" ca="1" si="68"/>
        <v>74.301284152726822</v>
      </c>
      <c r="G178" s="306">
        <f t="shared" ca="1" si="69"/>
        <v>16.913588267786352</v>
      </c>
      <c r="H178" s="307">
        <f t="shared" ca="1" si="70"/>
        <v>163.24295068265363</v>
      </c>
      <c r="I178" s="304">
        <f t="shared" ca="1" si="71"/>
        <v>164.11681941736344</v>
      </c>
      <c r="J178" s="306">
        <f t="shared" ca="1" si="72"/>
        <v>14.766061059584848</v>
      </c>
      <c r="K178" s="307">
        <f t="shared" ca="1" si="73"/>
        <v>149.49308189549794</v>
      </c>
      <c r="L178" s="304">
        <f t="shared" ca="1" si="58"/>
        <v>150.22056481663699</v>
      </c>
      <c r="M178" s="306">
        <f t="shared" ca="1" si="74"/>
        <v>1.4675547931140371</v>
      </c>
      <c r="N178" s="304">
        <f t="shared" ca="1" si="75"/>
        <v>84.084695849629014</v>
      </c>
      <c r="P178" s="310">
        <f t="shared" ca="1" si="76"/>
        <v>5</v>
      </c>
      <c r="Q178" s="304">
        <f t="shared" ca="1" si="77"/>
        <v>624.68999999999983</v>
      </c>
      <c r="R178" s="306">
        <f t="shared" ca="1" si="78"/>
        <v>0.31350280561803745</v>
      </c>
      <c r="S178" s="307">
        <f t="shared" ca="1" si="79"/>
        <v>6.5373555669777543</v>
      </c>
      <c r="T178" s="304">
        <f t="shared" ca="1" si="59"/>
        <v>64.131458112051774</v>
      </c>
      <c r="U178" s="311">
        <f t="shared" ca="1" si="60"/>
        <v>0</v>
      </c>
      <c r="V178" s="306">
        <f t="shared" ca="1" si="61"/>
        <v>1.2068229645204795</v>
      </c>
      <c r="W178" s="304">
        <f t="shared" ca="1" si="62"/>
        <v>75.883851117941106</v>
      </c>
      <c r="Y178" s="314" t="str">
        <f t="shared" ca="1" si="80"/>
        <v/>
      </c>
      <c r="Z178" s="315" t="str">
        <f t="shared" ca="1" si="81"/>
        <v/>
      </c>
      <c r="AA178" s="316" t="str">
        <f t="shared" ca="1" si="82"/>
        <v/>
      </c>
      <c r="AC178" s="310" t="e">
        <f t="shared" ca="1" si="83"/>
        <v>#N/A</v>
      </c>
      <c r="AD178" s="323" t="e">
        <f t="shared" ca="1" si="84"/>
        <v>#N/A</v>
      </c>
      <c r="AE178" s="324">
        <f t="shared" ca="1" si="63"/>
        <v>149.49308189549794</v>
      </c>
      <c r="AG178" s="306">
        <f t="shared" ca="1" si="85"/>
        <v>74.294413771670108</v>
      </c>
      <c r="AH178" s="304">
        <f t="shared" ca="1" si="86"/>
        <v>84.052240934100922</v>
      </c>
    </row>
    <row r="179" spans="1:34" x14ac:dyDescent="0.2">
      <c r="A179" s="347">
        <f t="shared" ca="1" si="64"/>
        <v>0.01</v>
      </c>
      <c r="B179" s="304">
        <f t="shared" ca="1" si="65"/>
        <v>1.7500000000000013</v>
      </c>
      <c r="D179" s="306">
        <f t="shared" ca="1" si="66"/>
        <v>8.6327756354550598</v>
      </c>
      <c r="E179" s="307">
        <f t="shared" ca="1" si="67"/>
        <v>73.509975927109792</v>
      </c>
      <c r="F179" s="304">
        <f t="shared" ca="1" si="68"/>
        <v>74.015142882901785</v>
      </c>
      <c r="G179" s="306">
        <f t="shared" ca="1" si="69"/>
        <v>16.999916024140902</v>
      </c>
      <c r="H179" s="307">
        <f t="shared" ca="1" si="70"/>
        <v>163.97805044192472</v>
      </c>
      <c r="I179" s="304">
        <f t="shared" ca="1" si="71"/>
        <v>164.85690210471094</v>
      </c>
      <c r="J179" s="306">
        <f t="shared" ca="1" si="72"/>
        <v>14.935628581044485</v>
      </c>
      <c r="K179" s="307">
        <f t="shared" ca="1" si="73"/>
        <v>151.12918690112082</v>
      </c>
      <c r="L179" s="304">
        <f t="shared" ca="1" si="58"/>
        <v>151.86541454361762</v>
      </c>
      <c r="M179" s="306">
        <f t="shared" ca="1" si="74"/>
        <v>1.4674934671285977</v>
      </c>
      <c r="N179" s="304">
        <f t="shared" ca="1" si="75"/>
        <v>84.081182129488852</v>
      </c>
      <c r="P179" s="310">
        <f t="shared" ca="1" si="76"/>
        <v>5</v>
      </c>
      <c r="Q179" s="304">
        <f t="shared" ca="1" si="77"/>
        <v>623.22999999999979</v>
      </c>
      <c r="R179" s="306">
        <f t="shared" ca="1" si="78"/>
        <v>0.31277009964194957</v>
      </c>
      <c r="S179" s="307">
        <f t="shared" ca="1" si="79"/>
        <v>6.5342278659813351</v>
      </c>
      <c r="T179" s="304">
        <f t="shared" ca="1" si="59"/>
        <v>64.100775365276903</v>
      </c>
      <c r="U179" s="311">
        <f t="shared" ca="1" si="60"/>
        <v>0</v>
      </c>
      <c r="V179" s="306">
        <f t="shared" ca="1" si="61"/>
        <v>1.2066255206111014</v>
      </c>
      <c r="W179" s="304">
        <f t="shared" ca="1" si="62"/>
        <v>76.557261449985305</v>
      </c>
      <c r="Y179" s="314" t="str">
        <f t="shared" ca="1" si="80"/>
        <v/>
      </c>
      <c r="Z179" s="315" t="str">
        <f t="shared" ca="1" si="81"/>
        <v/>
      </c>
      <c r="AA179" s="316" t="str">
        <f t="shared" ca="1" si="82"/>
        <v/>
      </c>
      <c r="AC179" s="310" t="e">
        <f t="shared" ca="1" si="83"/>
        <v>#N/A</v>
      </c>
      <c r="AD179" s="323" t="e">
        <f t="shared" ca="1" si="84"/>
        <v>#N/A</v>
      </c>
      <c r="AE179" s="324">
        <f t="shared" ca="1" si="63"/>
        <v>151.12918690112082</v>
      </c>
      <c r="AG179" s="306">
        <f t="shared" ca="1" si="85"/>
        <v>74.008237734428491</v>
      </c>
      <c r="AH179" s="304">
        <f t="shared" ca="1" si="86"/>
        <v>83.766002672123861</v>
      </c>
    </row>
    <row r="180" spans="1:34" x14ac:dyDescent="0.2">
      <c r="A180" s="347">
        <f t="shared" ca="1" si="64"/>
        <v>0.01</v>
      </c>
      <c r="B180" s="304">
        <f t="shared" ca="1" si="65"/>
        <v>1.7600000000000013</v>
      </c>
      <c r="D180" s="306">
        <f t="shared" ca="1" si="66"/>
        <v>8.6083279552151026</v>
      </c>
      <c r="E180" s="307">
        <f t="shared" ca="1" si="67"/>
        <v>73.224341678886532</v>
      </c>
      <c r="F180" s="304">
        <f t="shared" ca="1" si="68"/>
        <v>73.72860723281606</v>
      </c>
      <c r="G180" s="306">
        <f t="shared" ca="1" si="69"/>
        <v>17.085999303693054</v>
      </c>
      <c r="H180" s="307">
        <f t="shared" ca="1" si="70"/>
        <v>164.71029385871358</v>
      </c>
      <c r="I180" s="304">
        <f t="shared" ca="1" si="71"/>
        <v>165.59411908407128</v>
      </c>
      <c r="J180" s="306">
        <f t="shared" ca="1" si="72"/>
        <v>15.106058157683655</v>
      </c>
      <c r="K180" s="307">
        <f t="shared" ca="1" si="73"/>
        <v>152.77262862262401</v>
      </c>
      <c r="L180" s="304">
        <f t="shared" ca="1" si="58"/>
        <v>153.5176506116789</v>
      </c>
      <c r="M180" s="306">
        <f t="shared" ca="1" si="74"/>
        <v>1.4674323780267597</v>
      </c>
      <c r="N180" s="304">
        <f t="shared" ca="1" si="75"/>
        <v>84.077681981779293</v>
      </c>
      <c r="P180" s="310">
        <f t="shared" ca="1" si="76"/>
        <v>5</v>
      </c>
      <c r="Q180" s="304">
        <f t="shared" ca="1" si="77"/>
        <v>621.76999999999975</v>
      </c>
      <c r="R180" s="306">
        <f t="shared" ca="1" si="78"/>
        <v>0.3120373936658617</v>
      </c>
      <c r="S180" s="307">
        <f t="shared" ca="1" si="79"/>
        <v>6.5311074920446766</v>
      </c>
      <c r="T180" s="304">
        <f t="shared" ca="1" si="59"/>
        <v>64.070164496958284</v>
      </c>
      <c r="U180" s="311">
        <f t="shared" ca="1" si="60"/>
        <v>0</v>
      </c>
      <c r="V180" s="306">
        <f t="shared" ca="1" si="61"/>
        <v>1.2064272235873972</v>
      </c>
      <c r="W180" s="304">
        <f t="shared" ca="1" si="62"/>
        <v>77.230804901683726</v>
      </c>
      <c r="Y180" s="314" t="str">
        <f t="shared" ca="1" si="80"/>
        <v/>
      </c>
      <c r="Z180" s="315" t="str">
        <f t="shared" ca="1" si="81"/>
        <v/>
      </c>
      <c r="AA180" s="316" t="str">
        <f t="shared" ca="1" si="82"/>
        <v/>
      </c>
      <c r="AC180" s="310" t="e">
        <f t="shared" ca="1" si="83"/>
        <v>#N/A</v>
      </c>
      <c r="AD180" s="323" t="e">
        <f t="shared" ca="1" si="84"/>
        <v>#N/A</v>
      </c>
      <c r="AE180" s="324">
        <f t="shared" ca="1" si="63"/>
        <v>152.77262862262401</v>
      </c>
      <c r="AG180" s="306">
        <f t="shared" ca="1" si="85"/>
        <v>73.721667037177752</v>
      </c>
      <c r="AH180" s="304">
        <f t="shared" ca="1" si="86"/>
        <v>83.479369955879591</v>
      </c>
    </row>
    <row r="181" spans="1:34" x14ac:dyDescent="0.2">
      <c r="A181" s="347">
        <f t="shared" ca="1" si="64"/>
        <v>0.01</v>
      </c>
      <c r="B181" s="304">
        <f t="shared" ca="1" si="65"/>
        <v>1.7700000000000014</v>
      </c>
      <c r="D181" s="306">
        <f t="shared" ca="1" si="66"/>
        <v>8.5837856601372149</v>
      </c>
      <c r="E181" s="307">
        <f t="shared" ca="1" si="67"/>
        <v>72.938327058389831</v>
      </c>
      <c r="F181" s="304">
        <f t="shared" ca="1" si="68"/>
        <v>73.441683874594133</v>
      </c>
      <c r="G181" s="306">
        <f t="shared" ca="1" si="69"/>
        <v>17.171837160294427</v>
      </c>
      <c r="H181" s="307">
        <f t="shared" ca="1" si="70"/>
        <v>165.43967712929748</v>
      </c>
      <c r="I181" s="304">
        <f t="shared" ca="1" si="71"/>
        <v>166.32846647554311</v>
      </c>
      <c r="J181" s="306">
        <f t="shared" ca="1" si="72"/>
        <v>15.277347340003592</v>
      </c>
      <c r="K181" s="307">
        <f t="shared" ca="1" si="73"/>
        <v>154.42337847756406</v>
      </c>
      <c r="L181" s="304">
        <f t="shared" ca="1" si="58"/>
        <v>155.17724434391826</v>
      </c>
      <c r="M181" s="306">
        <f t="shared" ca="1" si="74"/>
        <v>1.4673715227979878</v>
      </c>
      <c r="N181" s="304">
        <f t="shared" ca="1" si="75"/>
        <v>84.074195234009352</v>
      </c>
      <c r="P181" s="310">
        <f t="shared" ca="1" si="76"/>
        <v>5</v>
      </c>
      <c r="Q181" s="304">
        <f t="shared" ca="1" si="77"/>
        <v>620.30999999999983</v>
      </c>
      <c r="R181" s="306">
        <f t="shared" ca="1" si="78"/>
        <v>0.31130468768977382</v>
      </c>
      <c r="S181" s="307">
        <f t="shared" ca="1" si="79"/>
        <v>6.5279944451677787</v>
      </c>
      <c r="T181" s="304">
        <f t="shared" ca="1" si="59"/>
        <v>64.039625507095906</v>
      </c>
      <c r="U181" s="311">
        <f t="shared" ca="1" si="60"/>
        <v>0</v>
      </c>
      <c r="V181" s="306">
        <f t="shared" ca="1" si="61"/>
        <v>1.2062280773225171</v>
      </c>
      <c r="W181" s="304">
        <f t="shared" ca="1" si="62"/>
        <v>77.904440734848521</v>
      </c>
      <c r="Y181" s="314" t="str">
        <f t="shared" ca="1" si="80"/>
        <v/>
      </c>
      <c r="Z181" s="315" t="str">
        <f t="shared" ca="1" si="81"/>
        <v/>
      </c>
      <c r="AA181" s="316" t="str">
        <f t="shared" ca="1" si="82"/>
        <v/>
      </c>
      <c r="AC181" s="310" t="e">
        <f t="shared" ca="1" si="83"/>
        <v>#N/A</v>
      </c>
      <c r="AD181" s="323" t="e">
        <f t="shared" ca="1" si="84"/>
        <v>#N/A</v>
      </c>
      <c r="AE181" s="324">
        <f t="shared" ca="1" si="63"/>
        <v>154.42337847756406</v>
      </c>
      <c r="AG181" s="306">
        <f t="shared" ca="1" si="85"/>
        <v>73.434708348481593</v>
      </c>
      <c r="AH181" s="304">
        <f t="shared" ca="1" si="86"/>
        <v>83.192349451265216</v>
      </c>
    </row>
    <row r="182" spans="1:34" x14ac:dyDescent="0.2">
      <c r="A182" s="347">
        <f t="shared" ca="1" si="64"/>
        <v>0.01</v>
      </c>
      <c r="B182" s="304">
        <f t="shared" ca="1" si="65"/>
        <v>1.7800000000000014</v>
      </c>
      <c r="D182" s="306">
        <f t="shared" ca="1" si="66"/>
        <v>8.559149818460293</v>
      </c>
      <c r="E182" s="307">
        <f t="shared" ca="1" si="67"/>
        <v>72.651938652758403</v>
      </c>
      <c r="F182" s="304">
        <f t="shared" ca="1" si="68"/>
        <v>73.15437946985142</v>
      </c>
      <c r="G182" s="306">
        <f t="shared" ca="1" si="69"/>
        <v>17.257428658479029</v>
      </c>
      <c r="H182" s="307">
        <f t="shared" ca="1" si="70"/>
        <v>166.16619651582505</v>
      </c>
      <c r="I182" s="304">
        <f t="shared" ca="1" si="71"/>
        <v>167.05994046580491</v>
      </c>
      <c r="J182" s="306">
        <f t="shared" ca="1" si="72"/>
        <v>15.449493669097459</v>
      </c>
      <c r="K182" s="307">
        <f t="shared" ca="1" si="73"/>
        <v>156.08140784578967</v>
      </c>
      <c r="L182" s="304">
        <f t="shared" ca="1" si="58"/>
        <v>156.84416702496532</v>
      </c>
      <c r="M182" s="306">
        <f t="shared" ca="1" si="74"/>
        <v>1.467310898480354</v>
      </c>
      <c r="N182" s="304">
        <f t="shared" ca="1" si="75"/>
        <v>84.070721716473088</v>
      </c>
      <c r="P182" s="310">
        <f t="shared" ca="1" si="76"/>
        <v>5</v>
      </c>
      <c r="Q182" s="304">
        <f t="shared" ca="1" si="77"/>
        <v>618.8499999999998</v>
      </c>
      <c r="R182" s="306">
        <f t="shared" ca="1" si="78"/>
        <v>0.31057198171368594</v>
      </c>
      <c r="S182" s="307">
        <f t="shared" ca="1" si="79"/>
        <v>6.5248887253506416</v>
      </c>
      <c r="T182" s="304">
        <f t="shared" ca="1" si="59"/>
        <v>64.009158395689795</v>
      </c>
      <c r="U182" s="311">
        <f t="shared" ca="1" si="60"/>
        <v>0</v>
      </c>
      <c r="V182" s="306">
        <f t="shared" ca="1" si="61"/>
        <v>1.2060280856936145</v>
      </c>
      <c r="W182" s="304">
        <f t="shared" ca="1" si="62"/>
        <v>78.578128382147113</v>
      </c>
      <c r="Y182" s="314" t="str">
        <f t="shared" ca="1" si="80"/>
        <v/>
      </c>
      <c r="Z182" s="315" t="str">
        <f t="shared" ca="1" si="81"/>
        <v/>
      </c>
      <c r="AA182" s="316" t="str">
        <f t="shared" ca="1" si="82"/>
        <v/>
      </c>
      <c r="AC182" s="310" t="e">
        <f t="shared" ca="1" si="83"/>
        <v>#N/A</v>
      </c>
      <c r="AD182" s="323" t="e">
        <f t="shared" ca="1" si="84"/>
        <v>#N/A</v>
      </c>
      <c r="AE182" s="324">
        <f t="shared" ca="1" si="63"/>
        <v>156.08140784578967</v>
      </c>
      <c r="AG182" s="306">
        <f t="shared" ca="1" si="85"/>
        <v>73.147368326347191</v>
      </c>
      <c r="AH182" s="304">
        <f t="shared" ca="1" si="86"/>
        <v>82.90494781366273</v>
      </c>
    </row>
    <row r="183" spans="1:34" x14ac:dyDescent="0.2">
      <c r="A183" s="347">
        <f t="shared" ca="1" si="64"/>
        <v>0.01</v>
      </c>
      <c r="B183" s="304">
        <f t="shared" ca="1" si="65"/>
        <v>1.7900000000000014</v>
      </c>
      <c r="D183" s="306">
        <f t="shared" ca="1" si="66"/>
        <v>8.5344214919943013</v>
      </c>
      <c r="E183" s="307">
        <f t="shared" ca="1" si="67"/>
        <v>72.365183038687547</v>
      </c>
      <c r="F183" s="304">
        <f t="shared" ca="1" si="68"/>
        <v>72.866700669275303</v>
      </c>
      <c r="G183" s="306">
        <f t="shared" ca="1" si="69"/>
        <v>17.342772873398971</v>
      </c>
      <c r="H183" s="307">
        <f t="shared" ca="1" si="70"/>
        <v>166.88984834621192</v>
      </c>
      <c r="I183" s="304">
        <f t="shared" ca="1" si="71"/>
        <v>167.7885373080054</v>
      </c>
      <c r="J183" s="306">
        <f t="shared" ca="1" si="72"/>
        <v>15.622494676756849</v>
      </c>
      <c r="K183" s="307">
        <f t="shared" ca="1" si="73"/>
        <v>157.74668807009985</v>
      </c>
      <c r="L183" s="304">
        <f t="shared" ca="1" si="58"/>
        <v>158.51838990164731</v>
      </c>
      <c r="M183" s="306">
        <f t="shared" ca="1" si="74"/>
        <v>1.4672505021594575</v>
      </c>
      <c r="N183" s="304">
        <f t="shared" ca="1" si="75"/>
        <v>84.0672612621876</v>
      </c>
      <c r="P183" s="310">
        <f t="shared" ca="1" si="76"/>
        <v>5</v>
      </c>
      <c r="Q183" s="304">
        <f t="shared" ca="1" si="77"/>
        <v>617.38999999999976</v>
      </c>
      <c r="R183" s="306">
        <f t="shared" ca="1" si="78"/>
        <v>0.30983927573759806</v>
      </c>
      <c r="S183" s="307">
        <f t="shared" ca="1" si="79"/>
        <v>6.521790332593266</v>
      </c>
      <c r="T183" s="304">
        <f t="shared" ca="1" si="59"/>
        <v>63.978763162739945</v>
      </c>
      <c r="U183" s="311">
        <f t="shared" ca="1" si="60"/>
        <v>0</v>
      </c>
      <c r="V183" s="306">
        <f t="shared" ca="1" si="61"/>
        <v>1.2058272525817348</v>
      </c>
      <c r="W183" s="304">
        <f t="shared" ca="1" si="62"/>
        <v>79.251827449168843</v>
      </c>
      <c r="Y183" s="314" t="str">
        <f t="shared" ca="1" si="80"/>
        <v/>
      </c>
      <c r="Z183" s="315" t="str">
        <f t="shared" ca="1" si="81"/>
        <v/>
      </c>
      <c r="AA183" s="316" t="str">
        <f t="shared" ca="1" si="82"/>
        <v/>
      </c>
      <c r="AC183" s="310" t="e">
        <f t="shared" ca="1" si="83"/>
        <v>#N/A</v>
      </c>
      <c r="AD183" s="323" t="e">
        <f t="shared" ca="1" si="84"/>
        <v>#N/A</v>
      </c>
      <c r="AE183" s="324">
        <f t="shared" ca="1" si="63"/>
        <v>157.74668807009985</v>
      </c>
      <c r="AG183" s="306">
        <f t="shared" ca="1" si="85"/>
        <v>72.859653617805094</v>
      </c>
      <c r="AH183" s="304">
        <f t="shared" ca="1" si="86"/>
        <v>82.617171687517938</v>
      </c>
    </row>
    <row r="184" spans="1:34" x14ac:dyDescent="0.2">
      <c r="A184" s="347">
        <f t="shared" ca="1" si="64"/>
        <v>0.01</v>
      </c>
      <c r="B184" s="304">
        <f t="shared" ca="1" si="65"/>
        <v>1.8000000000000014</v>
      </c>
      <c r="D184" s="306">
        <f t="shared" ca="1" si="66"/>
        <v>8.5096017362055463</v>
      </c>
      <c r="E184" s="307">
        <f t="shared" ca="1" si="67"/>
        <v>72.078066782002992</v>
      </c>
      <c r="F184" s="304">
        <f t="shared" ca="1" si="68"/>
        <v>72.578654112209293</v>
      </c>
      <c r="G184" s="306">
        <f t="shared" ca="1" si="69"/>
        <v>17.427868890761026</v>
      </c>
      <c r="H184" s="307">
        <f t="shared" ca="1" si="70"/>
        <v>167.61062901403196</v>
      </c>
      <c r="I184" s="304">
        <f t="shared" ca="1" si="71"/>
        <v>168.51425332164933</v>
      </c>
      <c r="J184" s="306">
        <f t="shared" ca="1" si="72"/>
        <v>15.796347885577649</v>
      </c>
      <c r="K184" s="307">
        <f t="shared" ca="1" si="73"/>
        <v>159.41919045690108</v>
      </c>
      <c r="L184" s="304">
        <f t="shared" ca="1" si="58"/>
        <v>160.19988418365318</v>
      </c>
      <c r="M184" s="306">
        <f t="shared" ca="1" si="74"/>
        <v>1.4671903309673742</v>
      </c>
      <c r="N184" s="304">
        <f t="shared" ca="1" si="75"/>
        <v>84.063813706832946</v>
      </c>
      <c r="P184" s="310">
        <f t="shared" ca="1" si="76"/>
        <v>5</v>
      </c>
      <c r="Q184" s="304">
        <f t="shared" ca="1" si="77"/>
        <v>615.92999999999984</v>
      </c>
      <c r="R184" s="306">
        <f t="shared" ca="1" si="78"/>
        <v>0.30910656976151019</v>
      </c>
      <c r="S184" s="307">
        <f t="shared" ca="1" si="79"/>
        <v>6.5186992668956512</v>
      </c>
      <c r="T184" s="304">
        <f t="shared" ca="1" si="59"/>
        <v>63.948439808246341</v>
      </c>
      <c r="U184" s="311">
        <f t="shared" ca="1" si="60"/>
        <v>0</v>
      </c>
      <c r="V184" s="306">
        <f t="shared" ca="1" si="61"/>
        <v>1.205625581871709</v>
      </c>
      <c r="W184" s="304">
        <f t="shared" ca="1" si="62"/>
        <v>79.925497716463212</v>
      </c>
      <c r="Y184" s="314" t="str">
        <f t="shared" ca="1" si="80"/>
        <v/>
      </c>
      <c r="Z184" s="315" t="str">
        <f t="shared" ca="1" si="81"/>
        <v/>
      </c>
      <c r="AA184" s="316" t="str">
        <f t="shared" ca="1" si="82"/>
        <v/>
      </c>
      <c r="AC184" s="310" t="e">
        <f t="shared" ca="1" si="83"/>
        <v>#N/A</v>
      </c>
      <c r="AD184" s="323" t="e">
        <f t="shared" ca="1" si="84"/>
        <v>#N/A</v>
      </c>
      <c r="AE184" s="324">
        <f t="shared" ca="1" si="63"/>
        <v>159.41919045690108</v>
      </c>
      <c r="AG184" s="306">
        <f t="shared" ca="1" si="85"/>
        <v>72.571570858492393</v>
      </c>
      <c r="AH184" s="304">
        <f t="shared" ca="1" si="86"/>
        <v>82.329027705922854</v>
      </c>
    </row>
    <row r="185" spans="1:34" x14ac:dyDescent="0.2">
      <c r="A185" s="347">
        <f t="shared" ca="1" si="64"/>
        <v>0.01</v>
      </c>
      <c r="B185" s="304">
        <f t="shared" ca="1" si="65"/>
        <v>1.8100000000000014</v>
      </c>
      <c r="D185" s="306">
        <f t="shared" ca="1" si="66"/>
        <v>8.4846916002983992</v>
      </c>
      <c r="E185" s="307">
        <f t="shared" ca="1" si="67"/>
        <v>71.790596437238122</v>
      </c>
      <c r="F185" s="304">
        <f t="shared" ca="1" si="68"/>
        <v>72.290246426240387</v>
      </c>
      <c r="G185" s="306">
        <f t="shared" ca="1" si="69"/>
        <v>17.51271580676401</v>
      </c>
      <c r="H185" s="307">
        <f t="shared" ca="1" si="70"/>
        <v>168.32853497840435</v>
      </c>
      <c r="I185" s="304">
        <f t="shared" ca="1" si="71"/>
        <v>169.23708489247969</v>
      </c>
      <c r="J185" s="306">
        <f t="shared" ca="1" si="72"/>
        <v>15.971050809065275</v>
      </c>
      <c r="K185" s="307">
        <f t="shared" ca="1" si="73"/>
        <v>161.09888627686325</v>
      </c>
      <c r="L185" s="304">
        <f t="shared" ca="1" si="58"/>
        <v>161.8886210441965</v>
      </c>
      <c r="M185" s="306">
        <f t="shared" ca="1" si="74"/>
        <v>1.4671303820816348</v>
      </c>
      <c r="N185" s="304">
        <f t="shared" ca="1" si="75"/>
        <v>84.060378888693577</v>
      </c>
      <c r="P185" s="310">
        <f t="shared" ca="1" si="76"/>
        <v>5</v>
      </c>
      <c r="Q185" s="304">
        <f t="shared" ca="1" si="77"/>
        <v>614.4699999999998</v>
      </c>
      <c r="R185" s="306">
        <f t="shared" ca="1" si="78"/>
        <v>0.30837386378542231</v>
      </c>
      <c r="S185" s="307">
        <f t="shared" ca="1" si="79"/>
        <v>6.515615528257797</v>
      </c>
      <c r="T185" s="304">
        <f t="shared" ca="1" si="59"/>
        <v>63.918188332208992</v>
      </c>
      <c r="U185" s="311">
        <f t="shared" ca="1" si="60"/>
        <v>0</v>
      </c>
      <c r="V185" s="306">
        <f t="shared" ca="1" si="61"/>
        <v>1.2054230774520445</v>
      </c>
      <c r="W185" s="304">
        <f t="shared" ca="1" si="62"/>
        <v>80.599099141550226</v>
      </c>
      <c r="Y185" s="314" t="str">
        <f t="shared" ca="1" si="80"/>
        <v/>
      </c>
      <c r="Z185" s="315" t="str">
        <f t="shared" ca="1" si="81"/>
        <v/>
      </c>
      <c r="AA185" s="316" t="str">
        <f t="shared" ca="1" si="82"/>
        <v/>
      </c>
      <c r="AC185" s="310" t="e">
        <f t="shared" ca="1" si="83"/>
        <v>#N/A</v>
      </c>
      <c r="AD185" s="323" t="e">
        <f t="shared" ca="1" si="84"/>
        <v>#N/A</v>
      </c>
      <c r="AE185" s="324">
        <f t="shared" ca="1" si="63"/>
        <v>161.09888627686325</v>
      </c>
      <c r="AG185" s="306">
        <f t="shared" ca="1" si="85"/>
        <v>72.283126672238964</v>
      </c>
      <c r="AH185" s="304">
        <f t="shared" ca="1" si="86"/>
        <v>82.040522490200985</v>
      </c>
    </row>
    <row r="186" spans="1:34" x14ac:dyDescent="0.2">
      <c r="A186" s="347">
        <f t="shared" ca="1" si="64"/>
        <v>0.01</v>
      </c>
      <c r="B186" s="304">
        <f t="shared" ca="1" si="65"/>
        <v>1.8200000000000014</v>
      </c>
      <c r="D186" s="306">
        <f t="shared" ca="1" si="66"/>
        <v>8.4596921272938825</v>
      </c>
      <c r="E186" s="307">
        <f t="shared" ca="1" si="67"/>
        <v>71.502778547215414</v>
      </c>
      <c r="F186" s="304">
        <f t="shared" ca="1" si="68"/>
        <v>72.001484226790268</v>
      </c>
      <c r="G186" s="306">
        <f t="shared" ca="1" si="69"/>
        <v>17.59731272803695</v>
      </c>
      <c r="H186" s="307">
        <f t="shared" ca="1" si="70"/>
        <v>169.04356276387651</v>
      </c>
      <c r="I186" s="304">
        <f t="shared" ca="1" si="71"/>
        <v>169.95702847235529</v>
      </c>
      <c r="J186" s="306">
        <f t="shared" ca="1" si="72"/>
        <v>16.146600951739281</v>
      </c>
      <c r="K186" s="307">
        <f t="shared" ca="1" si="73"/>
        <v>162.78574676557466</v>
      </c>
      <c r="L186" s="304">
        <f t="shared" ca="1" si="58"/>
        <v>163.58457162067734</v>
      </c>
      <c r="M186" s="306">
        <f t="shared" ca="1" si="74"/>
        <v>1.4670706527242312</v>
      </c>
      <c r="N186" s="304">
        <f t="shared" ca="1" si="75"/>
        <v>84.056956648601314</v>
      </c>
      <c r="P186" s="310">
        <f t="shared" ca="1" si="76"/>
        <v>5</v>
      </c>
      <c r="Q186" s="304">
        <f t="shared" ca="1" si="77"/>
        <v>613.00999999999976</v>
      </c>
      <c r="R186" s="306">
        <f t="shared" ca="1" si="78"/>
        <v>0.30764115780933443</v>
      </c>
      <c r="S186" s="307">
        <f t="shared" ca="1" si="79"/>
        <v>6.5125391166797035</v>
      </c>
      <c r="T186" s="304">
        <f t="shared" ca="1" si="59"/>
        <v>63.888008734627896</v>
      </c>
      <c r="U186" s="311">
        <f t="shared" ca="1" si="60"/>
        <v>0</v>
      </c>
      <c r="V186" s="306">
        <f t="shared" ca="1" si="61"/>
        <v>1.2052197432148168</v>
      </c>
      <c r="W186" s="304">
        <f t="shared" ca="1" si="62"/>
        <v>81.272591860901798</v>
      </c>
      <c r="Y186" s="314" t="str">
        <f t="shared" ca="1" si="80"/>
        <v/>
      </c>
      <c r="Z186" s="315" t="str">
        <f t="shared" ca="1" si="81"/>
        <v/>
      </c>
      <c r="AA186" s="316" t="str">
        <f t="shared" ca="1" si="82"/>
        <v/>
      </c>
      <c r="AC186" s="310" t="e">
        <f t="shared" ca="1" si="83"/>
        <v>#N/A</v>
      </c>
      <c r="AD186" s="323" t="e">
        <f t="shared" ca="1" si="84"/>
        <v>#N/A</v>
      </c>
      <c r="AE186" s="324">
        <f t="shared" ca="1" si="63"/>
        <v>162.78574676557466</v>
      </c>
      <c r="AG186" s="306">
        <f t="shared" ca="1" si="85"/>
        <v>71.994327670657512</v>
      </c>
      <c r="AH186" s="304">
        <f t="shared" ca="1" si="86"/>
        <v>81.751662649496566</v>
      </c>
    </row>
    <row r="187" spans="1:34" x14ac:dyDescent="0.2">
      <c r="A187" s="347">
        <f t="shared" ca="1" si="64"/>
        <v>0.01</v>
      </c>
      <c r="B187" s="304">
        <f t="shared" ca="1" si="65"/>
        <v>1.8300000000000014</v>
      </c>
      <c r="D187" s="306">
        <f t="shared" ca="1" si="66"/>
        <v>8.43460435410503</v>
      </c>
      <c r="E187" s="307">
        <f t="shared" ca="1" si="67"/>
        <v>71.214619642630865</v>
      </c>
      <c r="F187" s="304">
        <f t="shared" ca="1" si="68"/>
        <v>71.71237411670927</v>
      </c>
      <c r="G187" s="306">
        <f t="shared" ca="1" si="69"/>
        <v>17.681658771578</v>
      </c>
      <c r="H187" s="307">
        <f t="shared" ca="1" si="70"/>
        <v>169.75570896030283</v>
      </c>
      <c r="I187" s="304">
        <f t="shared" ca="1" si="71"/>
        <v>170.67408057912473</v>
      </c>
      <c r="J187" s="306">
        <f t="shared" ca="1" si="72"/>
        <v>16.322995809237355</v>
      </c>
      <c r="K187" s="307">
        <f t="shared" ca="1" si="73"/>
        <v>164.47974312419555</v>
      </c>
      <c r="L187" s="304">
        <f t="shared" ca="1" si="58"/>
        <v>165.28770701534259</v>
      </c>
      <c r="M187" s="306">
        <f t="shared" ca="1" si="74"/>
        <v>1.4670111401606494</v>
      </c>
      <c r="N187" s="304">
        <f t="shared" ca="1" si="75"/>
        <v>84.053546829880077</v>
      </c>
      <c r="P187" s="310">
        <f t="shared" ca="1" si="76"/>
        <v>5</v>
      </c>
      <c r="Q187" s="304">
        <f t="shared" ca="1" si="77"/>
        <v>611.54999999999973</v>
      </c>
      <c r="R187" s="306">
        <f t="shared" ca="1" si="78"/>
        <v>0.30690845183324655</v>
      </c>
      <c r="S187" s="307">
        <f t="shared" ca="1" si="79"/>
        <v>6.5094700321613708</v>
      </c>
      <c r="T187" s="304">
        <f t="shared" ca="1" si="59"/>
        <v>63.857901015503053</v>
      </c>
      <c r="U187" s="311">
        <f t="shared" ca="1" si="60"/>
        <v>0</v>
      </c>
      <c r="V187" s="306">
        <f t="shared" ca="1" si="61"/>
        <v>1.2050155830555616</v>
      </c>
      <c r="W187" s="304">
        <f t="shared" ca="1" si="62"/>
        <v>81.945936191895171</v>
      </c>
      <c r="Y187" s="314" t="str">
        <f t="shared" ca="1" si="80"/>
        <v/>
      </c>
      <c r="Z187" s="315" t="str">
        <f t="shared" ca="1" si="81"/>
        <v/>
      </c>
      <c r="AA187" s="316" t="str">
        <f t="shared" ca="1" si="82"/>
        <v/>
      </c>
      <c r="AC187" s="310" t="e">
        <f t="shared" ca="1" si="83"/>
        <v>#N/A</v>
      </c>
      <c r="AD187" s="323" t="e">
        <f t="shared" ca="1" si="84"/>
        <v>#N/A</v>
      </c>
      <c r="AE187" s="324">
        <f t="shared" ca="1" si="63"/>
        <v>164.47974312419555</v>
      </c>
      <c r="AG187" s="306">
        <f t="shared" ca="1" si="85"/>
        <v>71.705180452736499</v>
      </c>
      <c r="AH187" s="304">
        <f t="shared" ca="1" si="86"/>
        <v>81.462454780366713</v>
      </c>
    </row>
    <row r="188" spans="1:34" x14ac:dyDescent="0.2">
      <c r="A188" s="347">
        <f t="shared" ca="1" si="64"/>
        <v>0.01</v>
      </c>
      <c r="B188" s="304">
        <f t="shared" ca="1" si="65"/>
        <v>1.8400000000000014</v>
      </c>
      <c r="D188" s="306">
        <f t="shared" ca="1" si="66"/>
        <v>8.4094293116091894</v>
      </c>
      <c r="E188" s="307">
        <f t="shared" ca="1" si="67"/>
        <v>70.926126241642635</v>
      </c>
      <c r="F188" s="304">
        <f t="shared" ca="1" si="68"/>
        <v>71.422922685874312</v>
      </c>
      <c r="G188" s="306">
        <f t="shared" ca="1" si="69"/>
        <v>17.765753064694092</v>
      </c>
      <c r="H188" s="307">
        <f t="shared" ca="1" si="70"/>
        <v>170.46497022271924</v>
      </c>
      <c r="I188" s="304">
        <f t="shared" ca="1" si="71"/>
        <v>171.38823779649596</v>
      </c>
      <c r="J188" s="306">
        <f t="shared" ca="1" si="72"/>
        <v>16.500232868418717</v>
      </c>
      <c r="K188" s="307">
        <f t="shared" ca="1" si="73"/>
        <v>166.18084652011066</v>
      </c>
      <c r="L188" s="304">
        <f t="shared" ca="1" si="58"/>
        <v>166.99799829594551</v>
      </c>
      <c r="M188" s="306">
        <f t="shared" ca="1" si="74"/>
        <v>1.4669518416989291</v>
      </c>
      <c r="N188" s="304">
        <f t="shared" ca="1" si="75"/>
        <v>84.050149278291883</v>
      </c>
      <c r="P188" s="310">
        <f t="shared" ca="1" si="76"/>
        <v>5</v>
      </c>
      <c r="Q188" s="304">
        <f t="shared" ca="1" si="77"/>
        <v>610.0899999999998</v>
      </c>
      <c r="R188" s="306">
        <f t="shared" ca="1" si="78"/>
        <v>0.30617574585715868</v>
      </c>
      <c r="S188" s="307">
        <f t="shared" ca="1" si="79"/>
        <v>6.5064082747027996</v>
      </c>
      <c r="T188" s="304">
        <f t="shared" ca="1" si="59"/>
        <v>63.827865174834464</v>
      </c>
      <c r="U188" s="311">
        <f t="shared" ca="1" si="60"/>
        <v>0</v>
      </c>
      <c r="V188" s="306">
        <f t="shared" ca="1" si="61"/>
        <v>1.204810600873168</v>
      </c>
      <c r="W188" s="304">
        <f t="shared" ca="1" si="62"/>
        <v>82.619092634737754</v>
      </c>
      <c r="Y188" s="314" t="str">
        <f t="shared" ca="1" si="80"/>
        <v/>
      </c>
      <c r="Z188" s="315" t="str">
        <f t="shared" ca="1" si="81"/>
        <v/>
      </c>
      <c r="AA188" s="316" t="str">
        <f t="shared" ca="1" si="82"/>
        <v/>
      </c>
      <c r="AC188" s="310" t="e">
        <f t="shared" ca="1" si="83"/>
        <v>#N/A</v>
      </c>
      <c r="AD188" s="323" t="e">
        <f t="shared" ca="1" si="84"/>
        <v>#N/A</v>
      </c>
      <c r="AE188" s="324">
        <f t="shared" ca="1" si="63"/>
        <v>166.18084652011066</v>
      </c>
      <c r="AG188" s="306">
        <f t="shared" ca="1" si="85"/>
        <v>71.415691604436773</v>
      </c>
      <c r="AH188" s="304">
        <f t="shared" ca="1" si="86"/>
        <v>81.172905466377188</v>
      </c>
    </row>
    <row r="189" spans="1:34" x14ac:dyDescent="0.2">
      <c r="A189" s="347">
        <f t="shared" ca="1" si="64"/>
        <v>0.01</v>
      </c>
      <c r="B189" s="304">
        <f t="shared" ca="1" si="65"/>
        <v>1.8500000000000014</v>
      </c>
      <c r="D189" s="306">
        <f t="shared" ca="1" si="66"/>
        <v>8.3841680247174057</v>
      </c>
      <c r="E189" s="307">
        <f t="shared" ca="1" si="67"/>
        <v>70.637304849463021</v>
      </c>
      <c r="F189" s="304">
        <f t="shared" ca="1" si="68"/>
        <v>71.133136510789868</v>
      </c>
      <c r="G189" s="306">
        <f t="shared" ca="1" si="69"/>
        <v>17.849594744941268</v>
      </c>
      <c r="H189" s="307">
        <f t="shared" ca="1" si="70"/>
        <v>171.17134327121389</v>
      </c>
      <c r="I189" s="304">
        <f t="shared" ca="1" si="71"/>
        <v>172.09949677390219</v>
      </c>
      <c r="J189" s="306">
        <f t="shared" ca="1" si="72"/>
        <v>16.678309607466893</v>
      </c>
      <c r="K189" s="307">
        <f t="shared" ca="1" si="73"/>
        <v>167.88902808758033</v>
      </c>
      <c r="L189" s="304">
        <f t="shared" ca="1" si="58"/>
        <v>168.71541649640338</v>
      </c>
      <c r="M189" s="306">
        <f t="shared" ca="1" si="74"/>
        <v>1.4668927546887478</v>
      </c>
      <c r="N189" s="304">
        <f t="shared" ca="1" si="75"/>
        <v>84.046763841984443</v>
      </c>
      <c r="P189" s="310">
        <f t="shared" ca="1" si="76"/>
        <v>5</v>
      </c>
      <c r="Q189" s="304">
        <f t="shared" ca="1" si="77"/>
        <v>608.62999999999977</v>
      </c>
      <c r="R189" s="306">
        <f t="shared" ca="1" si="78"/>
        <v>0.3054430398810708</v>
      </c>
      <c r="S189" s="307">
        <f t="shared" ca="1" si="79"/>
        <v>6.5033538443039891</v>
      </c>
      <c r="T189" s="304">
        <f t="shared" ca="1" si="59"/>
        <v>63.797901212622136</v>
      </c>
      <c r="U189" s="311">
        <f t="shared" ca="1" si="60"/>
        <v>0</v>
      </c>
      <c r="V189" s="306">
        <f t="shared" ca="1" si="61"/>
        <v>1.2046048005697709</v>
      </c>
      <c r="W189" s="304">
        <f t="shared" ca="1" si="62"/>
        <v>83.292021874363371</v>
      </c>
      <c r="Y189" s="314" t="str">
        <f t="shared" ca="1" si="80"/>
        <v/>
      </c>
      <c r="Z189" s="315" t="str">
        <f t="shared" ca="1" si="81"/>
        <v/>
      </c>
      <c r="AA189" s="316" t="str">
        <f t="shared" ca="1" si="82"/>
        <v/>
      </c>
      <c r="AC189" s="310" t="e">
        <f t="shared" ca="1" si="83"/>
        <v>#N/A</v>
      </c>
      <c r="AD189" s="323" t="e">
        <f t="shared" ca="1" si="84"/>
        <v>#N/A</v>
      </c>
      <c r="AE189" s="324">
        <f t="shared" ca="1" si="63"/>
        <v>167.88902808758033</v>
      </c>
      <c r="AG189" s="306">
        <f t="shared" ca="1" si="85"/>
        <v>71.125867698291472</v>
      </c>
      <c r="AH189" s="304">
        <f t="shared" ca="1" si="86"/>
        <v>80.883021277701602</v>
      </c>
    </row>
    <row r="190" spans="1:34" x14ac:dyDescent="0.2">
      <c r="A190" s="347">
        <f t="shared" ca="1" si="64"/>
        <v>0.01</v>
      </c>
      <c r="B190" s="304">
        <f t="shared" ca="1" si="65"/>
        <v>1.8600000000000014</v>
      </c>
      <c r="D190" s="306">
        <f t="shared" ca="1" si="66"/>
        <v>8.3588215124410485</v>
      </c>
      <c r="E190" s="307">
        <f t="shared" ca="1" si="67"/>
        <v>70.348161957954488</v>
      </c>
      <c r="F190" s="304">
        <f t="shared" ca="1" si="68"/>
        <v>70.843022154192738</v>
      </c>
      <c r="G190" s="306">
        <f t="shared" ca="1" si="69"/>
        <v>17.933182960065679</v>
      </c>
      <c r="H190" s="307">
        <f t="shared" ca="1" si="70"/>
        <v>171.87482489079343</v>
      </c>
      <c r="I190" s="304">
        <f t="shared" ca="1" si="71"/>
        <v>172.8078542263635</v>
      </c>
      <c r="J190" s="306">
        <f t="shared" ca="1" si="72"/>
        <v>16.857223495991928</v>
      </c>
      <c r="K190" s="307">
        <f t="shared" ca="1" si="73"/>
        <v>169.60425892839038</v>
      </c>
      <c r="L190" s="304">
        <f t="shared" ca="1" si="58"/>
        <v>170.43993261745413</v>
      </c>
      <c r="M190" s="306">
        <f t="shared" ca="1" si="74"/>
        <v>1.4668338765205291</v>
      </c>
      <c r="N190" s="304">
        <f t="shared" ca="1" si="75"/>
        <v>84.043390371440054</v>
      </c>
      <c r="P190" s="310">
        <f t="shared" ca="1" si="76"/>
        <v>5</v>
      </c>
      <c r="Q190" s="304">
        <f t="shared" ca="1" si="77"/>
        <v>607.16999999999973</v>
      </c>
      <c r="R190" s="306">
        <f t="shared" ca="1" si="78"/>
        <v>0.30471033390498292</v>
      </c>
      <c r="S190" s="307">
        <f t="shared" ca="1" si="79"/>
        <v>6.5003067409649393</v>
      </c>
      <c r="T190" s="304">
        <f t="shared" ca="1" si="59"/>
        <v>63.768009128866055</v>
      </c>
      <c r="U190" s="311">
        <f t="shared" ca="1" si="60"/>
        <v>0</v>
      </c>
      <c r="V190" s="306">
        <f t="shared" ca="1" si="61"/>
        <v>1.2043981860506454</v>
      </c>
      <c r="W190" s="304">
        <f t="shared" ca="1" si="62"/>
        <v>83.96468478229977</v>
      </c>
      <c r="Y190" s="314" t="str">
        <f t="shared" ca="1" si="80"/>
        <v/>
      </c>
      <c r="Z190" s="315" t="str">
        <f t="shared" ca="1" si="81"/>
        <v/>
      </c>
      <c r="AA190" s="316" t="str">
        <f t="shared" ca="1" si="82"/>
        <v/>
      </c>
      <c r="AC190" s="310" t="e">
        <f t="shared" ca="1" si="83"/>
        <v>#N/A</v>
      </c>
      <c r="AD190" s="323" t="e">
        <f t="shared" ca="1" si="84"/>
        <v>#N/A</v>
      </c>
      <c r="AE190" s="324">
        <f t="shared" ca="1" si="63"/>
        <v>169.60425892839038</v>
      </c>
      <c r="AG190" s="306">
        <f t="shared" ca="1" si="85"/>
        <v>70.835715293009514</v>
      </c>
      <c r="AH190" s="304">
        <f t="shared" ca="1" si="86"/>
        <v>80.592808770724133</v>
      </c>
    </row>
    <row r="191" spans="1:34" x14ac:dyDescent="0.2">
      <c r="A191" s="347">
        <f t="shared" ca="1" si="64"/>
        <v>0.01</v>
      </c>
      <c r="B191" s="304">
        <f t="shared" ca="1" si="65"/>
        <v>1.8700000000000014</v>
      </c>
      <c r="D191" s="306">
        <f t="shared" ca="1" si="66"/>
        <v>8.3333907879556826</v>
      </c>
      <c r="E191" s="307">
        <f t="shared" ca="1" si="67"/>
        <v>70.058704045229248</v>
      </c>
      <c r="F191" s="304">
        <f t="shared" ca="1" si="68"/>
        <v>70.552586164660227</v>
      </c>
      <c r="G191" s="306">
        <f t="shared" ca="1" si="69"/>
        <v>18.016516867945235</v>
      </c>
      <c r="H191" s="307">
        <f t="shared" ca="1" si="70"/>
        <v>172.57541193124572</v>
      </c>
      <c r="I191" s="304">
        <f t="shared" ca="1" si="71"/>
        <v>173.51330693434468</v>
      </c>
      <c r="J191" s="306">
        <f t="shared" ca="1" si="72"/>
        <v>17.036971995131982</v>
      </c>
      <c r="K191" s="307">
        <f t="shared" ca="1" si="73"/>
        <v>171.32651011250059</v>
      </c>
      <c r="L191" s="304">
        <f t="shared" ca="1" si="58"/>
        <v>172.17151762731163</v>
      </c>
      <c r="M191" s="306">
        <f t="shared" ca="1" si="74"/>
        <v>1.4667752046245763</v>
      </c>
      <c r="N191" s="304">
        <f t="shared" ca="1" si="75"/>
        <v>84.040028719425933</v>
      </c>
      <c r="P191" s="310">
        <f t="shared" ca="1" si="76"/>
        <v>5</v>
      </c>
      <c r="Q191" s="304">
        <f t="shared" ca="1" si="77"/>
        <v>605.70999999999981</v>
      </c>
      <c r="R191" s="306">
        <f t="shared" ca="1" si="78"/>
        <v>0.30397762792889504</v>
      </c>
      <c r="S191" s="307">
        <f t="shared" ca="1" si="79"/>
        <v>6.4972669646856502</v>
      </c>
      <c r="T191" s="304">
        <f t="shared" ca="1" si="59"/>
        <v>63.738188923566234</v>
      </c>
      <c r="U191" s="311">
        <f t="shared" ca="1" si="60"/>
        <v>0</v>
      </c>
      <c r="V191" s="306">
        <f t="shared" ca="1" si="61"/>
        <v>1.2041907612240974</v>
      </c>
      <c r="W191" s="304">
        <f t="shared" ca="1" si="62"/>
        <v>84.637042418507335</v>
      </c>
      <c r="Y191" s="314" t="str">
        <f t="shared" ca="1" si="80"/>
        <v/>
      </c>
      <c r="Z191" s="315" t="str">
        <f t="shared" ca="1" si="81"/>
        <v/>
      </c>
      <c r="AA191" s="316" t="str">
        <f t="shared" ca="1" si="82"/>
        <v/>
      </c>
      <c r="AC191" s="310" t="e">
        <f t="shared" ca="1" si="83"/>
        <v>#N/A</v>
      </c>
      <c r="AD191" s="323" t="e">
        <f t="shared" ca="1" si="84"/>
        <v>#N/A</v>
      </c>
      <c r="AE191" s="324">
        <f t="shared" ca="1" si="63"/>
        <v>171.32651011250059</v>
      </c>
      <c r="AG191" s="306">
        <f t="shared" ca="1" si="85"/>
        <v>70.545240933082624</v>
      </c>
      <c r="AH191" s="304">
        <f t="shared" ca="1" si="86"/>
        <v>80.302274487645761</v>
      </c>
    </row>
    <row r="192" spans="1:34" x14ac:dyDescent="0.2">
      <c r="A192" s="347">
        <f t="shared" ca="1" si="64"/>
        <v>0.01</v>
      </c>
      <c r="B192" s="304">
        <f t="shared" ca="1" si="65"/>
        <v>1.8800000000000014</v>
      </c>
      <c r="D192" s="306">
        <f t="shared" ca="1" si="66"/>
        <v>8.307876858662242</v>
      </c>
      <c r="E192" s="307">
        <f t="shared" ca="1" si="67"/>
        <v>69.768937575252608</v>
      </c>
      <c r="F192" s="304">
        <f t="shared" ca="1" si="68"/>
        <v>70.2618350762218</v>
      </c>
      <c r="G192" s="306">
        <f t="shared" ca="1" si="69"/>
        <v>18.099595636531859</v>
      </c>
      <c r="H192" s="307">
        <f t="shared" ca="1" si="70"/>
        <v>173.27310130699826</v>
      </c>
      <c r="I192" s="304">
        <f t="shared" ca="1" si="71"/>
        <v>174.21585174360928</v>
      </c>
      <c r="J192" s="306">
        <f t="shared" ca="1" si="72"/>
        <v>17.217552557654368</v>
      </c>
      <c r="K192" s="307">
        <f t="shared" ca="1" si="73"/>
        <v>173.05575267869182</v>
      </c>
      <c r="L192" s="304">
        <f t="shared" ca="1" si="58"/>
        <v>173.91014246231916</v>
      </c>
      <c r="M192" s="306">
        <f t="shared" ca="1" si="74"/>
        <v>1.4667167364702269</v>
      </c>
      <c r="N192" s="304">
        <f t="shared" ca="1" si="75"/>
        <v>84.036678740945788</v>
      </c>
      <c r="P192" s="310">
        <f t="shared" ca="1" si="76"/>
        <v>5</v>
      </c>
      <c r="Q192" s="304">
        <f t="shared" ca="1" si="77"/>
        <v>604.24999999999977</v>
      </c>
      <c r="R192" s="306">
        <f t="shared" ca="1" si="78"/>
        <v>0.30324492195280717</v>
      </c>
      <c r="S192" s="307">
        <f t="shared" ca="1" si="79"/>
        <v>6.4942345154661218</v>
      </c>
      <c r="T192" s="304">
        <f t="shared" ca="1" si="59"/>
        <v>63.70844059672266</v>
      </c>
      <c r="U192" s="311">
        <f t="shared" ca="1" si="60"/>
        <v>0</v>
      </c>
      <c r="V192" s="306">
        <f t="shared" ca="1" si="61"/>
        <v>1.2039825300013614</v>
      </c>
      <c r="W192" s="304">
        <f t="shared" ca="1" si="62"/>
        <v>85.309056033189563</v>
      </c>
      <c r="Y192" s="314" t="str">
        <f t="shared" ca="1" si="80"/>
        <v/>
      </c>
      <c r="Z192" s="315" t="str">
        <f t="shared" ca="1" si="81"/>
        <v/>
      </c>
      <c r="AA192" s="316" t="str">
        <f t="shared" ca="1" si="82"/>
        <v/>
      </c>
      <c r="AC192" s="310" t="e">
        <f t="shared" ca="1" si="83"/>
        <v>#N/A</v>
      </c>
      <c r="AD192" s="323" t="e">
        <f t="shared" ca="1" si="84"/>
        <v>#N/A</v>
      </c>
      <c r="AE192" s="324">
        <f t="shared" ca="1" si="63"/>
        <v>173.05575267869182</v>
      </c>
      <c r="AG192" s="306">
        <f t="shared" ca="1" si="85"/>
        <v>70.254451148395589</v>
      </c>
      <c r="AH192" s="304">
        <f t="shared" ca="1" si="86"/>
        <v>80.011424956093904</v>
      </c>
    </row>
    <row r="193" spans="1:34" x14ac:dyDescent="0.2">
      <c r="A193" s="347">
        <f t="shared" ca="1" si="64"/>
        <v>0.01</v>
      </c>
      <c r="B193" s="304">
        <f t="shared" ca="1" si="65"/>
        <v>1.8900000000000015</v>
      </c>
      <c r="D193" s="306">
        <f t="shared" ca="1" si="66"/>
        <v>8.2822807262458511</v>
      </c>
      <c r="E193" s="307">
        <f t="shared" ca="1" si="67"/>
        <v>69.478868997450277</v>
      </c>
      <c r="F193" s="304">
        <f t="shared" ca="1" si="68"/>
        <v>69.970775407974443</v>
      </c>
      <c r="G193" s="306">
        <f t="shared" ca="1" si="69"/>
        <v>18.182418443794319</v>
      </c>
      <c r="H193" s="307">
        <f t="shared" ca="1" si="70"/>
        <v>173.96788999697276</v>
      </c>
      <c r="I193" s="304">
        <f t="shared" ca="1" si="71"/>
        <v>174.91548556506953</v>
      </c>
      <c r="J193" s="306">
        <f t="shared" ca="1" si="72"/>
        <v>17.398962628056001</v>
      </c>
      <c r="K193" s="307">
        <f t="shared" ca="1" si="73"/>
        <v>174.79195763521167</v>
      </c>
      <c r="L193" s="304">
        <f t="shared" ca="1" si="58"/>
        <v>175.65577802760183</v>
      </c>
      <c r="M193" s="306">
        <f t="shared" ca="1" si="74"/>
        <v>1.4666584695650298</v>
      </c>
      <c r="N193" s="304">
        <f t="shared" ca="1" si="75"/>
        <v>84.033340293192708</v>
      </c>
      <c r="P193" s="310">
        <f t="shared" ca="1" si="76"/>
        <v>5</v>
      </c>
      <c r="Q193" s="304">
        <f t="shared" ca="1" si="77"/>
        <v>602.78999999999974</v>
      </c>
      <c r="R193" s="306">
        <f t="shared" ca="1" si="78"/>
        <v>0.30251221597671929</v>
      </c>
      <c r="S193" s="307">
        <f t="shared" ca="1" si="79"/>
        <v>6.491209393306355</v>
      </c>
      <c r="T193" s="304">
        <f t="shared" ca="1" si="59"/>
        <v>63.678764148335347</v>
      </c>
      <c r="U193" s="311">
        <f t="shared" ca="1" si="60"/>
        <v>0</v>
      </c>
      <c r="V193" s="306">
        <f t="shared" ca="1" si="61"/>
        <v>1.2037734962964912</v>
      </c>
      <c r="W193" s="304">
        <f t="shared" ca="1" si="62"/>
        <v>85.980687068574056</v>
      </c>
      <c r="Y193" s="314" t="str">
        <f t="shared" ca="1" si="80"/>
        <v/>
      </c>
      <c r="Z193" s="315" t="str">
        <f t="shared" ca="1" si="81"/>
        <v/>
      </c>
      <c r="AA193" s="316" t="str">
        <f t="shared" ca="1" si="82"/>
        <v/>
      </c>
      <c r="AC193" s="310" t="e">
        <f t="shared" ca="1" si="83"/>
        <v>#N/A</v>
      </c>
      <c r="AD193" s="323" t="e">
        <f t="shared" ca="1" si="84"/>
        <v>#N/A</v>
      </c>
      <c r="AE193" s="324">
        <f t="shared" ca="1" si="63"/>
        <v>174.79195763521167</v>
      </c>
      <c r="AG193" s="306">
        <f t="shared" ca="1" si="85"/>
        <v>69.963352453840471</v>
      </c>
      <c r="AH193" s="304">
        <f t="shared" ca="1" si="86"/>
        <v>79.720266688735904</v>
      </c>
    </row>
    <row r="194" spans="1:34" x14ac:dyDescent="0.2">
      <c r="A194" s="347">
        <f t="shared" ca="1" si="64"/>
        <v>0.01</v>
      </c>
      <c r="B194" s="304">
        <f t="shared" ca="1" si="65"/>
        <v>1.9000000000000015</v>
      </c>
      <c r="D194" s="306">
        <f t="shared" ca="1" si="66"/>
        <v>8.2566033867321416</v>
      </c>
      <c r="E194" s="307">
        <f t="shared" ca="1" si="67"/>
        <v>69.188504746319381</v>
      </c>
      <c r="F194" s="304">
        <f t="shared" ca="1" si="68"/>
        <v>69.679413663701681</v>
      </c>
      <c r="G194" s="306">
        <f t="shared" ca="1" si="69"/>
        <v>18.264984477661642</v>
      </c>
      <c r="H194" s="307">
        <f t="shared" ca="1" si="70"/>
        <v>174.65977504443595</v>
      </c>
      <c r="I194" s="304">
        <f t="shared" ca="1" si="71"/>
        <v>175.61220537463274</v>
      </c>
      <c r="J194" s="306">
        <f t="shared" ca="1" si="72"/>
        <v>17.581199642663282</v>
      </c>
      <c r="K194" s="307">
        <f t="shared" ca="1" si="73"/>
        <v>176.53509596041872</v>
      </c>
      <c r="L194" s="304">
        <f t="shared" ca="1" si="58"/>
        <v>177.40839519771725</v>
      </c>
      <c r="M194" s="306">
        <f t="shared" ca="1" si="74"/>
        <v>1.4666004014539449</v>
      </c>
      <c r="N194" s="304">
        <f t="shared" ca="1" si="75"/>
        <v>84.030013235503247</v>
      </c>
      <c r="P194" s="310">
        <f t="shared" ca="1" si="76"/>
        <v>5</v>
      </c>
      <c r="Q194" s="304">
        <f t="shared" ca="1" si="77"/>
        <v>601.32999999999981</v>
      </c>
      <c r="R194" s="306">
        <f t="shared" ca="1" si="78"/>
        <v>0.30177951000063147</v>
      </c>
      <c r="S194" s="307">
        <f t="shared" ca="1" si="79"/>
        <v>6.4881915982063489</v>
      </c>
      <c r="T194" s="304">
        <f t="shared" ca="1" si="59"/>
        <v>63.649159578404287</v>
      </c>
      <c r="U194" s="311">
        <f t="shared" ca="1" si="60"/>
        <v>0</v>
      </c>
      <c r="V194" s="306">
        <f t="shared" ca="1" si="61"/>
        <v>1.203563664026257</v>
      </c>
      <c r="W194" s="304">
        <f t="shared" ca="1" si="62"/>
        <v>86.651897160665328</v>
      </c>
      <c r="Y194" s="314" t="str">
        <f t="shared" ca="1" si="80"/>
        <v/>
      </c>
      <c r="Z194" s="315" t="str">
        <f t="shared" ca="1" si="81"/>
        <v/>
      </c>
      <c r="AA194" s="316" t="str">
        <f t="shared" ca="1" si="82"/>
        <v/>
      </c>
      <c r="AC194" s="310" t="e">
        <f t="shared" ca="1" si="83"/>
        <v>#N/A</v>
      </c>
      <c r="AD194" s="323" t="e">
        <f t="shared" ca="1" si="84"/>
        <v>#N/A</v>
      </c>
      <c r="AE194" s="324">
        <f t="shared" ca="1" si="63"/>
        <v>176.53509596041872</v>
      </c>
      <c r="AG194" s="306">
        <f t="shared" ca="1" si="85"/>
        <v>69.671951348934229</v>
      </c>
      <c r="AH194" s="304">
        <f t="shared" ca="1" si="86"/>
        <v>79.428806182895912</v>
      </c>
    </row>
    <row r="195" spans="1:34" x14ac:dyDescent="0.2">
      <c r="A195" s="347">
        <f t="shared" ca="1" si="64"/>
        <v>0.01</v>
      </c>
      <c r="B195" s="304">
        <f t="shared" ca="1" si="65"/>
        <v>1.9100000000000015</v>
      </c>
      <c r="D195" s="306">
        <f t="shared" ca="1" si="66"/>
        <v>8.2308458305411794</v>
      </c>
      <c r="E195" s="307">
        <f t="shared" ca="1" si="67"/>
        <v>68.89785124104327</v>
      </c>
      <c r="F195" s="304">
        <f t="shared" ca="1" si="68"/>
        <v>69.387756331496007</v>
      </c>
      <c r="G195" s="306">
        <f t="shared" ca="1" si="69"/>
        <v>18.347292935967054</v>
      </c>
      <c r="H195" s="307">
        <f t="shared" ca="1" si="70"/>
        <v>175.34875355684639</v>
      </c>
      <c r="I195" s="304">
        <f t="shared" ca="1" si="71"/>
        <v>176.3060082130437</v>
      </c>
      <c r="J195" s="306">
        <f t="shared" ca="1" si="72"/>
        <v>17.764261029731426</v>
      </c>
      <c r="K195" s="307">
        <f t="shared" ca="1" si="73"/>
        <v>178.28513860342514</v>
      </c>
      <c r="L195" s="304">
        <f t="shared" ca="1" si="58"/>
        <v>179.16796481730475</v>
      </c>
      <c r="M195" s="306">
        <f t="shared" ca="1" si="74"/>
        <v>1.4665425297185624</v>
      </c>
      <c r="N195" s="304">
        <f t="shared" ca="1" si="75"/>
        <v>84.026697429312733</v>
      </c>
      <c r="P195" s="310">
        <f t="shared" ca="1" si="76"/>
        <v>5</v>
      </c>
      <c r="Q195" s="304">
        <f t="shared" ca="1" si="77"/>
        <v>599.86999999999978</v>
      </c>
      <c r="R195" s="306">
        <f t="shared" ca="1" si="78"/>
        <v>0.30104680402454354</v>
      </c>
      <c r="S195" s="307">
        <f t="shared" ca="1" si="79"/>
        <v>6.4851811301661035</v>
      </c>
      <c r="T195" s="304">
        <f t="shared" ca="1" si="59"/>
        <v>63.619626886929481</v>
      </c>
      <c r="U195" s="311">
        <f t="shared" ca="1" si="60"/>
        <v>0</v>
      </c>
      <c r="V195" s="306">
        <f t="shared" ca="1" si="61"/>
        <v>1.2033530371100396</v>
      </c>
      <c r="W195" s="304">
        <f t="shared" ca="1" si="62"/>
        <v>87.322648140968369</v>
      </c>
      <c r="Y195" s="314" t="str">
        <f t="shared" ca="1" si="80"/>
        <v/>
      </c>
      <c r="Z195" s="315" t="str">
        <f t="shared" ca="1" si="81"/>
        <v/>
      </c>
      <c r="AA195" s="316" t="str">
        <f t="shared" ca="1" si="82"/>
        <v/>
      </c>
      <c r="AC195" s="310" t="e">
        <f t="shared" ca="1" si="83"/>
        <v>#N/A</v>
      </c>
      <c r="AD195" s="323" t="e">
        <f t="shared" ca="1" si="84"/>
        <v>#N/A</v>
      </c>
      <c r="AE195" s="324">
        <f t="shared" ca="1" si="63"/>
        <v>178.28513860342514</v>
      </c>
      <c r="AG195" s="306">
        <f t="shared" ca="1" si="85"/>
        <v>69.380254317439821</v>
      </c>
      <c r="AH195" s="304">
        <f t="shared" ca="1" si="86"/>
        <v>79.137049920175414</v>
      </c>
    </row>
    <row r="196" spans="1:34" x14ac:dyDescent="0.2">
      <c r="A196" s="347">
        <f t="shared" ca="1" si="64"/>
        <v>0.01</v>
      </c>
      <c r="B196" s="304">
        <f t="shared" ca="1" si="65"/>
        <v>1.9200000000000015</v>
      </c>
      <c r="D196" s="306">
        <f t="shared" ca="1" si="66"/>
        <v>8.2050090425392632</v>
      </c>
      <c r="E196" s="307">
        <f t="shared" ca="1" si="67"/>
        <v>68.606914885110243</v>
      </c>
      <c r="F196" s="304">
        <f t="shared" ca="1" si="68"/>
        <v>69.095809883385201</v>
      </c>
      <c r="G196" s="306">
        <f t="shared" ca="1" si="69"/>
        <v>18.429343026392448</v>
      </c>
      <c r="H196" s="307">
        <f t="shared" ca="1" si="70"/>
        <v>176.03482270569748</v>
      </c>
      <c r="I196" s="304">
        <f t="shared" ca="1" si="71"/>
        <v>176.99689118572334</v>
      </c>
      <c r="J196" s="306">
        <f t="shared" ca="1" si="72"/>
        <v>17.948144209543223</v>
      </c>
      <c r="K196" s="307">
        <f t="shared" ca="1" si="73"/>
        <v>180.04205648473786</v>
      </c>
      <c r="L196" s="304">
        <f t="shared" ref="L196:L259" ca="1" si="87">SQRT(pos_x^2+pos_z^2)</f>
        <v>180.9344577017327</v>
      </c>
      <c r="M196" s="306">
        <f t="shared" ca="1" si="74"/>
        <v>1.4664848519763429</v>
      </c>
      <c r="N196" s="304">
        <f t="shared" ca="1" si="75"/>
        <v>84.02339273811171</v>
      </c>
      <c r="P196" s="310">
        <f t="shared" ca="1" si="76"/>
        <v>5</v>
      </c>
      <c r="Q196" s="304">
        <f t="shared" ca="1" si="77"/>
        <v>598.40999999999974</v>
      </c>
      <c r="R196" s="306">
        <f t="shared" ca="1" si="78"/>
        <v>0.30031409804845566</v>
      </c>
      <c r="S196" s="307">
        <f t="shared" ca="1" si="79"/>
        <v>6.4821779891856188</v>
      </c>
      <c r="T196" s="304">
        <f t="shared" ref="T196:T259" ca="1" si="88">m*g</f>
        <v>63.590166073910922</v>
      </c>
      <c r="U196" s="311">
        <f t="shared" ref="U196:U259" ca="1" si="89">IF(pos_xz&lt;L_rampe,Poids*COS(Beta),0)</f>
        <v>0</v>
      </c>
      <c r="V196" s="306">
        <f t="shared" ref="V196:V259" ca="1" si="90">Rho_moyen*(20000-Alt_rampe-pos_z)/(20000+Alt_rampe+pos_z)</f>
        <v>1.2031416194697244</v>
      </c>
      <c r="W196" s="304">
        <f t="shared" ref="W196:W259" ca="1" si="91">1/2*Rho*Sref*Cx*vit_xz^2</f>
        <v>87.992902038183189</v>
      </c>
      <c r="Y196" s="314" t="str">
        <f t="shared" ca="1" si="80"/>
        <v/>
      </c>
      <c r="Z196" s="315" t="str">
        <f t="shared" ca="1" si="81"/>
        <v/>
      </c>
      <c r="AA196" s="316" t="str">
        <f t="shared" ca="1" si="82"/>
        <v/>
      </c>
      <c r="AC196" s="310" t="e">
        <f t="shared" ca="1" si="83"/>
        <v>#N/A</v>
      </c>
      <c r="AD196" s="323" t="e">
        <f t="shared" ca="1" si="84"/>
        <v>#N/A</v>
      </c>
      <c r="AE196" s="324">
        <f t="shared" ref="AE196:AE259" ca="1" si="92">IF(t&lt;T_para, pos_z, NA())</f>
        <v>180.04205648473786</v>
      </c>
      <c r="AG196" s="306">
        <f t="shared" ca="1" si="85"/>
        <v>69.088267826991114</v>
      </c>
      <c r="AH196" s="304">
        <f t="shared" ca="1" si="86"/>
        <v>78.845004366077475</v>
      </c>
    </row>
    <row r="197" spans="1:34" x14ac:dyDescent="0.2">
      <c r="A197" s="347">
        <f t="shared" ref="A197:A260" ca="1" si="93">IF(B196+0.01&lt;=T_ini+ROUNDUP(Temps_fin_propu,0), 0.01, IF(K196&gt;0, 0.1, 0.0001))</f>
        <v>0.01</v>
      </c>
      <c r="B197" s="304">
        <f t="shared" ref="B197:B260" ca="1" si="94">B196+pas</f>
        <v>1.9300000000000015</v>
      </c>
      <c r="D197" s="306">
        <f t="shared" ref="D197:D260" ca="1" si="95">IF(AND(L196&lt;L_rampe,Poussee&lt;Poids*SIN(M196)),0,(-W196+Poussee)/m*COS(M196)-U196/m*SIN(M196))</f>
        <v>8.179094002088469</v>
      </c>
      <c r="E197" s="307">
        <f t="shared" ref="E197:E260" ca="1" si="96">IF(AND(L196&lt;L_rampe,Poussee&lt;Poids*SIN(M196)),0,(-W196+Poussee)/m*SIN(M196)+U196/m*COS(M196)-Poids/m)</f>
        <v>68.315702065936264</v>
      </c>
      <c r="F197" s="304">
        <f t="shared" ref="F197:F260" ca="1" si="97">SQRT(acc_x^2+acc_z^2)</f>
        <v>68.803580774962342</v>
      </c>
      <c r="G197" s="306">
        <f t="shared" ref="G197:G260" ca="1" si="98">G196+acc_x*pas</f>
        <v>18.511133966413333</v>
      </c>
      <c r="H197" s="307">
        <f t="shared" ref="H197:H260" ca="1" si="99">H196+acc_z*pas</f>
        <v>176.71797972635684</v>
      </c>
      <c r="I197" s="304">
        <f t="shared" ref="I197:I260" ca="1" si="100">SQRT(vit_x^2+vit_z^2)</f>
        <v>177.68485146260377</v>
      </c>
      <c r="J197" s="306">
        <f t="shared" ref="J197:J260" ca="1" si="101">J196+0.5*(vit_x+G196)*pas*(K196&gt;=0)</f>
        <v>18.132846594507253</v>
      </c>
      <c r="K197" s="307">
        <f t="shared" ref="K197:K260" ca="1" si="102">K196+0.5*(vit_z+H196)*pas</f>
        <v>181.80582049689812</v>
      </c>
      <c r="L197" s="304">
        <f t="shared" ca="1" si="87"/>
        <v>182.70784463774476</v>
      </c>
      <c r="M197" s="306">
        <f t="shared" ref="M197:M260" ca="1" si="103">IF(AND(L196&gt;L_rampe,G197&gt;0),ATAN2(G197,H197),$M$4)</f>
        <v>1.4664273658798768</v>
      </c>
      <c r="N197" s="304">
        <f t="shared" ref="N197:N260" ca="1" si="104">DEGREES(Beta)</f>
        <v>84.020099027403518</v>
      </c>
      <c r="P197" s="310">
        <f t="shared" ref="P197:P260" ca="1" si="105">MATCH(t-pas/2-T_ini,CdP_t)</f>
        <v>5</v>
      </c>
      <c r="Q197" s="304">
        <f t="shared" ref="Q197:Q260" ca="1" si="106">(INDEX(CdP,2,i_P+1)-INDEX(CdP,2,i_P+0))/(INDEX(CdP,1,i_P+1)-INDEX(CdP,1,i_P+0))*(t-pas/2-T_ini-INDEX(CdP,1,i_P+0))+INDEX(CdP,2,i_P+0)</f>
        <v>596.94999999999982</v>
      </c>
      <c r="R197" s="306">
        <f t="shared" ref="R197:R260" ca="1" si="107">Poussee/(g*ISP)</f>
        <v>0.29958139207236784</v>
      </c>
      <c r="S197" s="307">
        <f t="shared" ref="S197:S260" ca="1" si="108">S196-Débit*pas</f>
        <v>6.4791821752648948</v>
      </c>
      <c r="T197" s="304">
        <f t="shared" ca="1" si="88"/>
        <v>63.560777139348623</v>
      </c>
      <c r="U197" s="311">
        <f t="shared" ca="1" si="89"/>
        <v>0</v>
      </c>
      <c r="V197" s="306">
        <f t="shared" ca="1" si="90"/>
        <v>1.2029294150295995</v>
      </c>
      <c r="W197" s="304">
        <f t="shared" ca="1" si="91"/>
        <v>88.662621079870917</v>
      </c>
      <c r="Y197" s="314" t="str">
        <f t="shared" ref="Y197:Y260" ca="1" si="109">IF(AND(pos_z&lt;=0,K196&gt;0),"Impact balistique","") &amp; IF(AND(H198&lt;0,vit_z&gt;=0),"Apogée","") &amp; IF(AND(Poussee=0,Q196&gt;0),"Fin de propulsion","") &amp; IF(AND(L198&gt;L_rampe,pos_xz&lt;=L_rampe),"Sortie de rampe","")</f>
        <v/>
      </c>
      <c r="Z197" s="315" t="str">
        <f t="shared" ref="Z197:Z260" ca="1" si="110">IF(ABS(t-T_para)&lt;pas/2,"Para","")</f>
        <v/>
      </c>
      <c r="AA197" s="316" t="str">
        <f t="shared" ref="AA197:AA260" ca="1" si="111">IF(ABS(t-T_satellite)&lt;pas/2,"Satellite","")</f>
        <v/>
      </c>
      <c r="AC197" s="310" t="e">
        <f t="shared" ref="AC197:AC260" ca="1" si="112">IF(ABS(t-ROUND(t,0))&lt;0.001,t,NA())</f>
        <v>#N/A</v>
      </c>
      <c r="AD197" s="323" t="e">
        <f t="shared" ref="AD197:AD260" ca="1" si="113">IF(ABS(t-ROUND(t,0))&lt;0.001,pos_x,NA())</f>
        <v>#N/A</v>
      </c>
      <c r="AE197" s="324">
        <f t="shared" ca="1" si="92"/>
        <v>181.80582049689812</v>
      </c>
      <c r="AG197" s="306">
        <f t="shared" ref="AG197:AG260" ca="1" si="114">IF(AND(L196&lt;L_rampe,Poussee&lt;Poids*SIN(M196)),0,(-W196+Poussee)/m-Poids*SIN(M196)/m)</f>
        <v>68.795998328721581</v>
      </c>
      <c r="AH197" s="304">
        <f t="shared" ref="AH197:AH260" ca="1" si="115">IF(AND(L196&lt;L_rampe,Poussee&lt;Poids*SIN(M196)), g*SIN(M196), (-W196+Poussee)/m)</f>
        <v>78.552675969634777</v>
      </c>
    </row>
    <row r="198" spans="1:34" x14ac:dyDescent="0.2">
      <c r="A198" s="347">
        <f t="shared" ca="1" si="93"/>
        <v>0.01</v>
      </c>
      <c r="B198" s="304">
        <f t="shared" ca="1" si="94"/>
        <v>1.9400000000000015</v>
      </c>
      <c r="D198" s="306">
        <f t="shared" ca="1" si="95"/>
        <v>8.1531016830941709</v>
      </c>
      <c r="E198" s="307">
        <f t="shared" ca="1" si="96"/>
        <v>68.024219154491234</v>
      </c>
      <c r="F198" s="304">
        <f t="shared" ca="1" si="97"/>
        <v>68.511075445019301</v>
      </c>
      <c r="G198" s="306">
        <f t="shared" ca="1" si="98"/>
        <v>18.592664983244273</v>
      </c>
      <c r="H198" s="307">
        <f t="shared" ca="1" si="99"/>
        <v>177.39822191790176</v>
      </c>
      <c r="I198" s="304">
        <f t="shared" ca="1" si="100"/>
        <v>178.36988627795969</v>
      </c>
      <c r="J198" s="306">
        <f t="shared" ca="1" si="101"/>
        <v>18.318365589255542</v>
      </c>
      <c r="K198" s="307">
        <f t="shared" ca="1" si="102"/>
        <v>183.57640150511941</v>
      </c>
      <c r="L198" s="304">
        <f t="shared" ca="1" si="87"/>
        <v>184.48809638410395</v>
      </c>
      <c r="M198" s="306">
        <f t="shared" ca="1" si="103"/>
        <v>1.4663700691161614</v>
      </c>
      <c r="N198" s="304">
        <f t="shared" ca="1" si="104"/>
        <v>84.01681616466287</v>
      </c>
      <c r="P198" s="310">
        <f t="shared" ca="1" si="105"/>
        <v>5</v>
      </c>
      <c r="Q198" s="304">
        <f t="shared" ca="1" si="106"/>
        <v>595.48999999999978</v>
      </c>
      <c r="R198" s="306">
        <f t="shared" ca="1" si="107"/>
        <v>0.2988486860962799</v>
      </c>
      <c r="S198" s="307">
        <f t="shared" ca="1" si="108"/>
        <v>6.4761936884039324</v>
      </c>
      <c r="T198" s="304">
        <f t="shared" ca="1" si="88"/>
        <v>63.531460083242578</v>
      </c>
      <c r="U198" s="311">
        <f t="shared" ca="1" si="89"/>
        <v>0</v>
      </c>
      <c r="V198" s="306">
        <f t="shared" ca="1" si="90"/>
        <v>1.2027164277162494</v>
      </c>
      <c r="W198" s="304">
        <f t="shared" ca="1" si="91"/>
        <v>89.331767694090615</v>
      </c>
      <c r="Y198" s="314" t="str">
        <f t="shared" ca="1" si="109"/>
        <v/>
      </c>
      <c r="Z198" s="315" t="str">
        <f t="shared" ca="1" si="110"/>
        <v/>
      </c>
      <c r="AA198" s="316" t="str">
        <f t="shared" ca="1" si="111"/>
        <v/>
      </c>
      <c r="AC198" s="310" t="e">
        <f t="shared" ca="1" si="112"/>
        <v>#N/A</v>
      </c>
      <c r="AD198" s="323" t="e">
        <f t="shared" ca="1" si="113"/>
        <v>#N/A</v>
      </c>
      <c r="AE198" s="324">
        <f t="shared" ca="1" si="92"/>
        <v>183.57640150511941</v>
      </c>
      <c r="AG198" s="306">
        <f t="shared" ca="1" si="114"/>
        <v>68.503452256896281</v>
      </c>
      <c r="AH198" s="304">
        <f t="shared" ca="1" si="115"/>
        <v>78.260071163041019</v>
      </c>
    </row>
    <row r="199" spans="1:34" x14ac:dyDescent="0.2">
      <c r="A199" s="347">
        <f t="shared" ca="1" si="93"/>
        <v>0.01</v>
      </c>
      <c r="B199" s="304">
        <f t="shared" ca="1" si="94"/>
        <v>1.9500000000000015</v>
      </c>
      <c r="D199" s="306">
        <f t="shared" ca="1" si="95"/>
        <v>8.1270330540505924</v>
      </c>
      <c r="E199" s="307">
        <f t="shared" ca="1" si="96"/>
        <v>67.732472504929703</v>
      </c>
      <c r="F199" s="304">
        <f t="shared" ca="1" si="97"/>
        <v>68.218300315184408</v>
      </c>
      <c r="G199" s="306">
        <f t="shared" ca="1" si="98"/>
        <v>18.673935313784778</v>
      </c>
      <c r="H199" s="307">
        <f t="shared" ca="1" si="99"/>
        <v>178.07554664295105</v>
      </c>
      <c r="I199" s="304">
        <f t="shared" ca="1" si="100"/>
        <v>179.05199293023591</v>
      </c>
      <c r="J199" s="306">
        <f t="shared" ca="1" si="101"/>
        <v>18.504698590740688</v>
      </c>
      <c r="K199" s="307">
        <f t="shared" ca="1" si="102"/>
        <v>185.35377034792367</v>
      </c>
      <c r="L199" s="304">
        <f t="shared" ca="1" si="87"/>
        <v>186.27518367223527</v>
      </c>
      <c r="M199" s="306">
        <f t="shared" ca="1" si="103"/>
        <v>1.4663129594058997</v>
      </c>
      <c r="N199" s="304">
        <f t="shared" ca="1" si="104"/>
        <v>84.013544019295665</v>
      </c>
      <c r="P199" s="310">
        <f t="shared" ca="1" si="105"/>
        <v>5</v>
      </c>
      <c r="Q199" s="304">
        <f t="shared" ca="1" si="106"/>
        <v>594.02999999999975</v>
      </c>
      <c r="R199" s="306">
        <f t="shared" ca="1" si="107"/>
        <v>0.29811598012019203</v>
      </c>
      <c r="S199" s="307">
        <f t="shared" ca="1" si="108"/>
        <v>6.4732125286027307</v>
      </c>
      <c r="T199" s="304">
        <f t="shared" ca="1" si="88"/>
        <v>63.502214905592794</v>
      </c>
      <c r="U199" s="311">
        <f t="shared" ca="1" si="89"/>
        <v>0</v>
      </c>
      <c r="V199" s="306">
        <f t="shared" ca="1" si="90"/>
        <v>1.2025026614584531</v>
      </c>
      <c r="W199" s="304">
        <f t="shared" ca="1" si="91"/>
        <v>90.000304511007201</v>
      </c>
      <c r="Y199" s="314" t="str">
        <f t="shared" ca="1" si="109"/>
        <v/>
      </c>
      <c r="Z199" s="315" t="str">
        <f t="shared" ca="1" si="110"/>
        <v/>
      </c>
      <c r="AA199" s="316" t="str">
        <f t="shared" ca="1" si="111"/>
        <v/>
      </c>
      <c r="AC199" s="310" t="e">
        <f t="shared" ca="1" si="112"/>
        <v>#N/A</v>
      </c>
      <c r="AD199" s="323" t="e">
        <f t="shared" ca="1" si="113"/>
        <v>#N/A</v>
      </c>
      <c r="AE199" s="324">
        <f t="shared" ca="1" si="92"/>
        <v>185.35377034792367</v>
      </c>
      <c r="AG199" s="306">
        <f t="shared" ca="1" si="114"/>
        <v>68.210636028548038</v>
      </c>
      <c r="AH199" s="304">
        <f t="shared" ca="1" si="115"/>
        <v>77.967196361286526</v>
      </c>
    </row>
    <row r="200" spans="1:34" x14ac:dyDescent="0.2">
      <c r="A200" s="347">
        <f t="shared" ca="1" si="93"/>
        <v>0.01</v>
      </c>
      <c r="B200" s="304">
        <f t="shared" ca="1" si="94"/>
        <v>1.9600000000000015</v>
      </c>
      <c r="D200" s="306">
        <f t="shared" ca="1" si="95"/>
        <v>8.1008890780842666</v>
      </c>
      <c r="E200" s="307">
        <f t="shared" ca="1" si="96"/>
        <v>67.440468454224884</v>
      </c>
      <c r="F200" s="304">
        <f t="shared" ca="1" si="97"/>
        <v>67.925261789563436</v>
      </c>
      <c r="G200" s="306">
        <f t="shared" ca="1" si="98"/>
        <v>18.754944204565621</v>
      </c>
      <c r="H200" s="307">
        <f t="shared" ca="1" si="99"/>
        <v>178.74995132749331</v>
      </c>
      <c r="I200" s="304">
        <f t="shared" ca="1" si="100"/>
        <v>179.73116878187153</v>
      </c>
      <c r="J200" s="306">
        <f t="shared" ca="1" si="101"/>
        <v>18.691842988332439</v>
      </c>
      <c r="K200" s="307">
        <f t="shared" ca="1" si="102"/>
        <v>187.13789783777588</v>
      </c>
      <c r="L200" s="304">
        <f t="shared" ca="1" si="87"/>
        <v>188.06907720686652</v>
      </c>
      <c r="M200" s="306">
        <f t="shared" ca="1" si="103"/>
        <v>1.4662560345028124</v>
      </c>
      <c r="N200" s="304">
        <f t="shared" ca="1" si="104"/>
        <v>84.010282462599562</v>
      </c>
      <c r="P200" s="310">
        <f t="shared" ca="1" si="105"/>
        <v>5</v>
      </c>
      <c r="Q200" s="304">
        <f t="shared" ca="1" si="106"/>
        <v>592.56999999999971</v>
      </c>
      <c r="R200" s="306">
        <f t="shared" ca="1" si="107"/>
        <v>0.29738327414410415</v>
      </c>
      <c r="S200" s="307">
        <f t="shared" ca="1" si="108"/>
        <v>6.4702386958612896</v>
      </c>
      <c r="T200" s="304">
        <f t="shared" ca="1" si="88"/>
        <v>63.473041606399256</v>
      </c>
      <c r="U200" s="311">
        <f t="shared" ca="1" si="89"/>
        <v>0</v>
      </c>
      <c r="V200" s="306">
        <f t="shared" ca="1" si="90"/>
        <v>1.2022881201870792</v>
      </c>
      <c r="W200" s="304">
        <f t="shared" ca="1" si="91"/>
        <v>90.668194364470295</v>
      </c>
      <c r="Y200" s="314" t="str">
        <f t="shared" ca="1" si="109"/>
        <v/>
      </c>
      <c r="Z200" s="315" t="str">
        <f t="shared" ca="1" si="110"/>
        <v/>
      </c>
      <c r="AA200" s="316" t="str">
        <f t="shared" ca="1" si="111"/>
        <v/>
      </c>
      <c r="AC200" s="310" t="e">
        <f t="shared" ca="1" si="112"/>
        <v>#N/A</v>
      </c>
      <c r="AD200" s="323" t="e">
        <f t="shared" ca="1" si="113"/>
        <v>#N/A</v>
      </c>
      <c r="AE200" s="324">
        <f t="shared" ca="1" si="92"/>
        <v>187.13789783777588</v>
      </c>
      <c r="AG200" s="306">
        <f t="shared" ca="1" si="114"/>
        <v>67.917556043116988</v>
      </c>
      <c r="AH200" s="304">
        <f t="shared" ca="1" si="115"/>
        <v>77.674057961797132</v>
      </c>
    </row>
    <row r="201" spans="1:34" x14ac:dyDescent="0.2">
      <c r="A201" s="347">
        <f t="shared" ca="1" si="93"/>
        <v>0.01</v>
      </c>
      <c r="B201" s="304">
        <f t="shared" ca="1" si="94"/>
        <v>1.9700000000000015</v>
      </c>
      <c r="D201" s="306">
        <f t="shared" ca="1" si="95"/>
        <v>8.0746707129959034</v>
      </c>
      <c r="E201" s="307">
        <f t="shared" ca="1" si="96"/>
        <v>67.148213321807205</v>
      </c>
      <c r="F201" s="304">
        <f t="shared" ca="1" si="97"/>
        <v>67.631966254384764</v>
      </c>
      <c r="G201" s="306">
        <f t="shared" ca="1" si="98"/>
        <v>18.835690911695579</v>
      </c>
      <c r="H201" s="307">
        <f t="shared" ca="1" si="99"/>
        <v>179.42143346071137</v>
      </c>
      <c r="I201" s="304">
        <f t="shared" ca="1" si="100"/>
        <v>180.40741125912041</v>
      </c>
      <c r="J201" s="306">
        <f t="shared" ca="1" si="101"/>
        <v>18.879796163913745</v>
      </c>
      <c r="K201" s="307">
        <f t="shared" ca="1" si="102"/>
        <v>188.9287547617169</v>
      </c>
      <c r="L201" s="304">
        <f t="shared" ca="1" si="87"/>
        <v>189.86974766666725</v>
      </c>
      <c r="M201" s="306">
        <f t="shared" ca="1" si="103"/>
        <v>1.4661992921929712</v>
      </c>
      <c r="N201" s="304">
        <f t="shared" ca="1" si="104"/>
        <v>84.007031367725844</v>
      </c>
      <c r="P201" s="310">
        <f t="shared" ca="1" si="105"/>
        <v>5</v>
      </c>
      <c r="Q201" s="304">
        <f t="shared" ca="1" si="106"/>
        <v>591.10999999999979</v>
      </c>
      <c r="R201" s="306">
        <f t="shared" ca="1" si="107"/>
        <v>0.29665056816801633</v>
      </c>
      <c r="S201" s="307">
        <f t="shared" ca="1" si="108"/>
        <v>6.4672721901796093</v>
      </c>
      <c r="T201" s="304">
        <f t="shared" ca="1" si="88"/>
        <v>63.443940185661972</v>
      </c>
      <c r="U201" s="311">
        <f t="shared" ca="1" si="89"/>
        <v>0</v>
      </c>
      <c r="V201" s="306">
        <f t="shared" ca="1" si="90"/>
        <v>1.2020728078349856</v>
      </c>
      <c r="W201" s="304">
        <f t="shared" ca="1" si="91"/>
        <v>91.335400293564476</v>
      </c>
      <c r="Y201" s="314" t="str">
        <f t="shared" ca="1" si="109"/>
        <v/>
      </c>
      <c r="Z201" s="315" t="str">
        <f t="shared" ca="1" si="110"/>
        <v/>
      </c>
      <c r="AA201" s="316" t="str">
        <f t="shared" ca="1" si="111"/>
        <v/>
      </c>
      <c r="AC201" s="310" t="e">
        <f t="shared" ca="1" si="112"/>
        <v>#N/A</v>
      </c>
      <c r="AD201" s="323" t="e">
        <f t="shared" ca="1" si="113"/>
        <v>#N/A</v>
      </c>
      <c r="AE201" s="324">
        <f t="shared" ca="1" si="92"/>
        <v>188.9287547617169</v>
      </c>
      <c r="AG201" s="306">
        <f t="shared" ca="1" si="114"/>
        <v>67.624218682094153</v>
      </c>
      <c r="AH201" s="304">
        <f t="shared" ca="1" si="115"/>
        <v>77.38066234407728</v>
      </c>
    </row>
    <row r="202" spans="1:34" x14ac:dyDescent="0.2">
      <c r="A202" s="347">
        <f t="shared" ca="1" si="93"/>
        <v>0.01</v>
      </c>
      <c r="B202" s="304">
        <f t="shared" ca="1" si="94"/>
        <v>1.9800000000000015</v>
      </c>
      <c r="D202" s="306">
        <f t="shared" ca="1" si="95"/>
        <v>8.0483789113002189</v>
      </c>
      <c r="E202" s="307">
        <f t="shared" ca="1" si="96"/>
        <v>66.855713409206317</v>
      </c>
      <c r="F202" s="304">
        <f t="shared" ca="1" si="97"/>
        <v>67.338420077648024</v>
      </c>
      <c r="G202" s="306">
        <f t="shared" ca="1" si="98"/>
        <v>18.916174700808583</v>
      </c>
      <c r="H202" s="307">
        <f t="shared" ca="1" si="99"/>
        <v>180.08999059480342</v>
      </c>
      <c r="I202" s="304">
        <f t="shared" ca="1" si="100"/>
        <v>181.0807178518682</v>
      </c>
      <c r="J202" s="306">
        <f t="shared" ca="1" si="101"/>
        <v>19.068555491976266</v>
      </c>
      <c r="K202" s="307">
        <f t="shared" ca="1" si="102"/>
        <v>190.72631188199449</v>
      </c>
      <c r="L202" s="304">
        <f t="shared" ca="1" si="87"/>
        <v>191.67716570488622</v>
      </c>
      <c r="M202" s="306">
        <f t="shared" ca="1" si="103"/>
        <v>1.4661427302941461</v>
      </c>
      <c r="N202" s="304">
        <f t="shared" ca="1" si="104"/>
        <v>84.003790609641911</v>
      </c>
      <c r="P202" s="310">
        <f t="shared" ca="1" si="105"/>
        <v>5</v>
      </c>
      <c r="Q202" s="304">
        <f t="shared" ca="1" si="106"/>
        <v>589.64999999999975</v>
      </c>
      <c r="R202" s="306">
        <f t="shared" ca="1" si="107"/>
        <v>0.29591786219192839</v>
      </c>
      <c r="S202" s="307">
        <f t="shared" ca="1" si="108"/>
        <v>6.4643130115576897</v>
      </c>
      <c r="T202" s="304">
        <f t="shared" ca="1" si="88"/>
        <v>63.414910643380942</v>
      </c>
      <c r="U202" s="311">
        <f t="shared" ca="1" si="89"/>
        <v>0</v>
      </c>
      <c r="V202" s="306">
        <f t="shared" ca="1" si="90"/>
        <v>1.201856728336915</v>
      </c>
      <c r="W202" s="304">
        <f t="shared" ca="1" si="91"/>
        <v>92.001885544130161</v>
      </c>
      <c r="Y202" s="314" t="str">
        <f t="shared" ca="1" si="109"/>
        <v/>
      </c>
      <c r="Z202" s="315" t="str">
        <f t="shared" ca="1" si="110"/>
        <v/>
      </c>
      <c r="AA202" s="316" t="str">
        <f t="shared" ca="1" si="111"/>
        <v/>
      </c>
      <c r="AC202" s="310" t="e">
        <f t="shared" ca="1" si="112"/>
        <v>#N/A</v>
      </c>
      <c r="AD202" s="323" t="e">
        <f t="shared" ca="1" si="113"/>
        <v>#N/A</v>
      </c>
      <c r="AE202" s="324">
        <f t="shared" ca="1" si="92"/>
        <v>190.72631188199449</v>
      </c>
      <c r="AG202" s="306">
        <f t="shared" ca="1" si="114"/>
        <v>67.330630308668518</v>
      </c>
      <c r="AH202" s="304">
        <f t="shared" ca="1" si="115"/>
        <v>77.087015869356492</v>
      </c>
    </row>
    <row r="203" spans="1:34" x14ac:dyDescent="0.2">
      <c r="A203" s="347">
        <f t="shared" ca="1" si="93"/>
        <v>0.01</v>
      </c>
      <c r="B203" s="304">
        <f t="shared" ca="1" si="94"/>
        <v>1.9900000000000015</v>
      </c>
      <c r="D203" s="306">
        <f t="shared" ca="1" si="95"/>
        <v>8.0220146202642422</v>
      </c>
      <c r="E203" s="307">
        <f t="shared" ca="1" si="96"/>
        <v>66.562974999697431</v>
      </c>
      <c r="F203" s="304">
        <f t="shared" ca="1" si="97"/>
        <v>67.044629608776859</v>
      </c>
      <c r="G203" s="306">
        <f t="shared" ca="1" si="98"/>
        <v>18.996394847011224</v>
      </c>
      <c r="H203" s="307">
        <f t="shared" ca="1" si="99"/>
        <v>180.75562034480041</v>
      </c>
      <c r="I203" s="304">
        <f t="shared" ca="1" si="100"/>
        <v>181.75108611344575</v>
      </c>
      <c r="J203" s="306">
        <f t="shared" ca="1" si="101"/>
        <v>19.258118339715367</v>
      </c>
      <c r="K203" s="307">
        <f t="shared" ca="1" si="102"/>
        <v>192.53053993669252</v>
      </c>
      <c r="L203" s="304">
        <f t="shared" ca="1" si="87"/>
        <v>193.49130194998645</v>
      </c>
      <c r="M203" s="306">
        <f t="shared" ca="1" si="103"/>
        <v>1.4660863466551706</v>
      </c>
      <c r="N203" s="304">
        <f t="shared" ca="1" si="104"/>
        <v>84.00056006509503</v>
      </c>
      <c r="P203" s="310">
        <f t="shared" ca="1" si="105"/>
        <v>5</v>
      </c>
      <c r="Q203" s="304">
        <f t="shared" ca="1" si="106"/>
        <v>588.18999999999971</v>
      </c>
      <c r="R203" s="306">
        <f t="shared" ca="1" si="107"/>
        <v>0.29518515621584052</v>
      </c>
      <c r="S203" s="307">
        <f t="shared" ca="1" si="108"/>
        <v>6.4613611599955316</v>
      </c>
      <c r="T203" s="304">
        <f t="shared" ca="1" si="88"/>
        <v>63.385952979556166</v>
      </c>
      <c r="U203" s="311">
        <f t="shared" ca="1" si="89"/>
        <v>0</v>
      </c>
      <c r="V203" s="306">
        <f t="shared" ca="1" si="90"/>
        <v>1.2016398856293931</v>
      </c>
      <c r="W203" s="304">
        <f t="shared" ca="1" si="91"/>
        <v>92.667613570255568</v>
      </c>
      <c r="Y203" s="314" t="str">
        <f t="shared" ca="1" si="109"/>
        <v/>
      </c>
      <c r="Z203" s="315" t="str">
        <f t="shared" ca="1" si="110"/>
        <v/>
      </c>
      <c r="AA203" s="316" t="str">
        <f t="shared" ca="1" si="111"/>
        <v/>
      </c>
      <c r="AC203" s="310" t="e">
        <f t="shared" ca="1" si="112"/>
        <v>#N/A</v>
      </c>
      <c r="AD203" s="323" t="e">
        <f t="shared" ca="1" si="113"/>
        <v>#N/A</v>
      </c>
      <c r="AE203" s="324">
        <f t="shared" ca="1" si="92"/>
        <v>192.53053993669252</v>
      </c>
      <c r="AG203" s="306">
        <f t="shared" ca="1" si="114"/>
        <v>67.036797267378233</v>
      </c>
      <c r="AH203" s="304">
        <f t="shared" ca="1" si="115"/>
        <v>76.793124880240043</v>
      </c>
    </row>
    <row r="204" spans="1:34" x14ac:dyDescent="0.2">
      <c r="A204" s="347">
        <f t="shared" ca="1" si="93"/>
        <v>0.01</v>
      </c>
      <c r="B204" s="304">
        <f t="shared" ca="1" si="94"/>
        <v>2.0000000000000013</v>
      </c>
      <c r="D204" s="306">
        <f t="shared" ca="1" si="95"/>
        <v>7.9955787819438529</v>
      </c>
      <c r="E204" s="307">
        <f t="shared" ca="1" si="96"/>
        <v>66.270004357951606</v>
      </c>
      <c r="F204" s="304">
        <f t="shared" ca="1" si="97"/>
        <v>66.750601178275517</v>
      </c>
      <c r="G204" s="306">
        <f t="shared" ca="1" si="98"/>
        <v>19.076350634830664</v>
      </c>
      <c r="H204" s="307">
        <f t="shared" ca="1" si="99"/>
        <v>181.41832038837993</v>
      </c>
      <c r="I204" s="304">
        <f t="shared" ca="1" si="100"/>
        <v>182.41851366043929</v>
      </c>
      <c r="J204" s="306">
        <f t="shared" ca="1" si="101"/>
        <v>19.448482067124576</v>
      </c>
      <c r="K204" s="307">
        <f t="shared" ca="1" si="102"/>
        <v>194.34140964035842</v>
      </c>
      <c r="L204" s="304">
        <f t="shared" ca="1" si="87"/>
        <v>195.31212700627901</v>
      </c>
      <c r="M204" s="306">
        <f t="shared" ca="1" si="103"/>
        <v>1.4660301391553217</v>
      </c>
      <c r="N204" s="304">
        <f t="shared" ca="1" si="104"/>
        <v>83.99733961257671</v>
      </c>
      <c r="P204" s="310">
        <f t="shared" ca="1" si="105"/>
        <v>5</v>
      </c>
      <c r="Q204" s="304">
        <f t="shared" ca="1" si="106"/>
        <v>586.72999999999979</v>
      </c>
      <c r="R204" s="306">
        <f t="shared" ca="1" si="107"/>
        <v>0.29445245023975269</v>
      </c>
      <c r="S204" s="307">
        <f t="shared" ca="1" si="108"/>
        <v>6.4584166354931343</v>
      </c>
      <c r="T204" s="304">
        <f t="shared" ca="1" si="88"/>
        <v>63.35706719418765</v>
      </c>
      <c r="U204" s="311">
        <f t="shared" ca="1" si="89"/>
        <v>0</v>
      </c>
      <c r="V204" s="306">
        <f t="shared" ca="1" si="90"/>
        <v>1.2014222836506283</v>
      </c>
      <c r="W204" s="304">
        <f t="shared" ca="1" si="91"/>
        <v>93.332548035740189</v>
      </c>
      <c r="Y204" s="314" t="str">
        <f t="shared" ca="1" si="109"/>
        <v/>
      </c>
      <c r="Z204" s="315" t="str">
        <f t="shared" ca="1" si="110"/>
        <v/>
      </c>
      <c r="AA204" s="316" t="str">
        <f t="shared" ca="1" si="111"/>
        <v/>
      </c>
      <c r="AC204" s="310">
        <f t="shared" ca="1" si="112"/>
        <v>2.0000000000000013</v>
      </c>
      <c r="AD204" s="323">
        <f t="shared" ca="1" si="113"/>
        <v>19.448482067124576</v>
      </c>
      <c r="AE204" s="324">
        <f t="shared" ca="1" si="92"/>
        <v>194.34140964035842</v>
      </c>
      <c r="AG204" s="306">
        <f t="shared" ca="1" si="114"/>
        <v>66.742725883765445</v>
      </c>
      <c r="AH204" s="304">
        <f t="shared" ca="1" si="115"/>
        <v>76.498995700363324</v>
      </c>
    </row>
    <row r="205" spans="1:34" x14ac:dyDescent="0.2">
      <c r="A205" s="347">
        <f t="shared" ca="1" si="93"/>
        <v>0.01</v>
      </c>
      <c r="B205" s="304">
        <f t="shared" ca="1" si="94"/>
        <v>2.0100000000000011</v>
      </c>
      <c r="D205" s="306">
        <f t="shared" ca="1" si="95"/>
        <v>7.9690723332187643</v>
      </c>
      <c r="E205" s="307">
        <f t="shared" ca="1" si="96"/>
        <v>65.976807729689739</v>
      </c>
      <c r="F205" s="304">
        <f t="shared" ca="1" si="97"/>
        <v>66.456341097389043</v>
      </c>
      <c r="G205" s="306">
        <f t="shared" ca="1" si="98"/>
        <v>19.156041358162852</v>
      </c>
      <c r="H205" s="307">
        <f t="shared" ca="1" si="99"/>
        <v>182.07808846567681</v>
      </c>
      <c r="I205" s="304">
        <f t="shared" ca="1" si="100"/>
        <v>183.08299817249684</v>
      </c>
      <c r="J205" s="306">
        <f t="shared" ca="1" si="101"/>
        <v>19.639644027089545</v>
      </c>
      <c r="K205" s="307">
        <f t="shared" ca="1" si="102"/>
        <v>196.15889168462871</v>
      </c>
      <c r="L205" s="304">
        <f t="shared" ca="1" si="87"/>
        <v>197.13961145455443</v>
      </c>
      <c r="M205" s="306">
        <f t="shared" ca="1" si="103"/>
        <v>1.4659741057037148</v>
      </c>
      <c r="N205" s="304">
        <f t="shared" ca="1" si="104"/>
        <v>83.99412913228808</v>
      </c>
      <c r="P205" s="310">
        <f t="shared" ca="1" si="105"/>
        <v>6</v>
      </c>
      <c r="Q205" s="304">
        <f t="shared" ca="1" si="106"/>
        <v>585.26999999999987</v>
      </c>
      <c r="R205" s="306">
        <f t="shared" ca="1" si="107"/>
        <v>0.29371974426366482</v>
      </c>
      <c r="S205" s="307">
        <f t="shared" ca="1" si="108"/>
        <v>6.4554794380504976</v>
      </c>
      <c r="T205" s="304">
        <f t="shared" ca="1" si="88"/>
        <v>63.328253287275388</v>
      </c>
      <c r="U205" s="311">
        <f t="shared" ca="1" si="89"/>
        <v>0</v>
      </c>
      <c r="V205" s="306">
        <f t="shared" ca="1" si="90"/>
        <v>1.2012039263404084</v>
      </c>
      <c r="W205" s="304">
        <f t="shared" ca="1" si="91"/>
        <v>93.996652815528464</v>
      </c>
      <c r="Y205" s="314" t="str">
        <f t="shared" ca="1" si="109"/>
        <v/>
      </c>
      <c r="Z205" s="315" t="str">
        <f t="shared" ca="1" si="110"/>
        <v/>
      </c>
      <c r="AA205" s="316" t="str">
        <f t="shared" ca="1" si="111"/>
        <v/>
      </c>
      <c r="AC205" s="310" t="e">
        <f t="shared" ca="1" si="112"/>
        <v>#N/A</v>
      </c>
      <c r="AD205" s="323" t="e">
        <f t="shared" ca="1" si="113"/>
        <v>#N/A</v>
      </c>
      <c r="AE205" s="324">
        <f t="shared" ca="1" si="92"/>
        <v>196.15889168462871</v>
      </c>
      <c r="AG205" s="306">
        <f t="shared" ca="1" si="114"/>
        <v>66.448422464034962</v>
      </c>
      <c r="AH205" s="304">
        <f t="shared" ca="1" si="115"/>
        <v>76.204634634049867</v>
      </c>
    </row>
    <row r="206" spans="1:34" x14ac:dyDescent="0.2">
      <c r="A206" s="347">
        <f t="shared" ca="1" si="93"/>
        <v>0.01</v>
      </c>
      <c r="B206" s="304">
        <f t="shared" ca="1" si="94"/>
        <v>2.0200000000000009</v>
      </c>
      <c r="D206" s="306">
        <f t="shared" ca="1" si="95"/>
        <v>7.9424962058260604</v>
      </c>
      <c r="E206" s="307">
        <f t="shared" ca="1" si="96"/>
        <v>65.683391341340922</v>
      </c>
      <c r="F206" s="304">
        <f t="shared" ca="1" si="97"/>
        <v>66.161855657767802</v>
      </c>
      <c r="G206" s="306">
        <f t="shared" ca="1" si="98"/>
        <v>19.235466320221114</v>
      </c>
      <c r="H206" s="307">
        <f t="shared" ca="1" si="99"/>
        <v>182.73492237909022</v>
      </c>
      <c r="I206" s="304">
        <f t="shared" ca="1" si="100"/>
        <v>183.74453739213169</v>
      </c>
      <c r="J206" s="306">
        <f t="shared" ca="1" si="101"/>
        <v>19.831601565481463</v>
      </c>
      <c r="K206" s="307">
        <f t="shared" ca="1" si="102"/>
        <v>197.98295673885255</v>
      </c>
      <c r="L206" s="304">
        <f t="shared" ca="1" si="87"/>
        <v>198.97372585271242</v>
      </c>
      <c r="M206" s="306">
        <f t="shared" ca="1" si="103"/>
        <v>1.4659182442387151</v>
      </c>
      <c r="N206" s="304">
        <f t="shared" ca="1" si="104"/>
        <v>83.990928506106187</v>
      </c>
      <c r="P206" s="310">
        <f t="shared" ca="1" si="105"/>
        <v>6</v>
      </c>
      <c r="Q206" s="304">
        <f t="shared" ca="1" si="106"/>
        <v>583.80999999999983</v>
      </c>
      <c r="R206" s="306">
        <f t="shared" ca="1" si="107"/>
        <v>0.29298703828757694</v>
      </c>
      <c r="S206" s="307">
        <f t="shared" ca="1" si="108"/>
        <v>6.4525495676676217</v>
      </c>
      <c r="T206" s="304">
        <f t="shared" ca="1" si="88"/>
        <v>63.299511258819372</v>
      </c>
      <c r="U206" s="311">
        <f t="shared" ca="1" si="89"/>
        <v>0</v>
      </c>
      <c r="V206" s="306">
        <f t="shared" ca="1" si="90"/>
        <v>1.2009848176400035</v>
      </c>
      <c r="W206" s="304">
        <f t="shared" ca="1" si="91"/>
        <v>94.659891997115452</v>
      </c>
      <c r="Y206" s="314" t="str">
        <f t="shared" ca="1" si="109"/>
        <v/>
      </c>
      <c r="Z206" s="315" t="str">
        <f t="shared" ca="1" si="110"/>
        <v/>
      </c>
      <c r="AA206" s="316" t="str">
        <f t="shared" ca="1" si="111"/>
        <v/>
      </c>
      <c r="AC206" s="310" t="e">
        <f t="shared" ca="1" si="112"/>
        <v>#N/A</v>
      </c>
      <c r="AD206" s="323" t="e">
        <f t="shared" ca="1" si="113"/>
        <v>#N/A</v>
      </c>
      <c r="AE206" s="324">
        <f t="shared" ca="1" si="92"/>
        <v>197.98295673885255</v>
      </c>
      <c r="AG206" s="306">
        <f t="shared" ca="1" si="114"/>
        <v>66.15389329471688</v>
      </c>
      <c r="AH206" s="304">
        <f t="shared" ca="1" si="115"/>
        <v>75.91004796597359</v>
      </c>
    </row>
    <row r="207" spans="1:34" x14ac:dyDescent="0.2">
      <c r="A207" s="347">
        <f t="shared" ca="1" si="93"/>
        <v>0.01</v>
      </c>
      <c r="B207" s="304">
        <f t="shared" ca="1" si="94"/>
        <v>2.0300000000000007</v>
      </c>
      <c r="D207" s="306">
        <f t="shared" ca="1" si="95"/>
        <v>7.9158513263921328</v>
      </c>
      <c r="E207" s="307">
        <f t="shared" ca="1" si="96"/>
        <v>65.389761399704838</v>
      </c>
      <c r="F207" s="304">
        <f t="shared" ca="1" si="97"/>
        <v>65.867151131135714</v>
      </c>
      <c r="G207" s="306">
        <f t="shared" ca="1" si="98"/>
        <v>19.314624833485034</v>
      </c>
      <c r="H207" s="307">
        <f t="shared" ca="1" si="99"/>
        <v>183.38881999308728</v>
      </c>
      <c r="I207" s="304">
        <f t="shared" ca="1" si="100"/>
        <v>184.40312912452231</v>
      </c>
      <c r="J207" s="306">
        <f t="shared" ca="1" si="101"/>
        <v>20.024352021249996</v>
      </c>
      <c r="K207" s="307">
        <f t="shared" ca="1" si="102"/>
        <v>199.81357545071344</v>
      </c>
      <c r="L207" s="304">
        <f t="shared" ca="1" si="87"/>
        <v>200.81444073638951</v>
      </c>
      <c r="M207" s="306">
        <f t="shared" ca="1" si="103"/>
        <v>1.4658625527273612</v>
      </c>
      <c r="N207" s="304">
        <f t="shared" ca="1" si="104"/>
        <v>83.987737617550906</v>
      </c>
      <c r="P207" s="310">
        <f t="shared" ca="1" si="105"/>
        <v>6</v>
      </c>
      <c r="Q207" s="304">
        <f t="shared" ca="1" si="106"/>
        <v>582.34999999999991</v>
      </c>
      <c r="R207" s="306">
        <f t="shared" ca="1" si="107"/>
        <v>0.29225433231148912</v>
      </c>
      <c r="S207" s="307">
        <f t="shared" ca="1" si="108"/>
        <v>6.4496270243445064</v>
      </c>
      <c r="T207" s="304">
        <f t="shared" ca="1" si="88"/>
        <v>63.27084110881961</v>
      </c>
      <c r="U207" s="311">
        <f t="shared" ca="1" si="89"/>
        <v>0</v>
      </c>
      <c r="V207" s="306">
        <f t="shared" ca="1" si="90"/>
        <v>1.2007649614920606</v>
      </c>
      <c r="W207" s="304">
        <f t="shared" ca="1" si="91"/>
        <v>95.322229881923107</v>
      </c>
      <c r="Y207" s="314" t="str">
        <f t="shared" ca="1" si="109"/>
        <v/>
      </c>
      <c r="Z207" s="315" t="str">
        <f t="shared" ca="1" si="110"/>
        <v/>
      </c>
      <c r="AA207" s="316" t="str">
        <f t="shared" ca="1" si="111"/>
        <v/>
      </c>
      <c r="AC207" s="310" t="e">
        <f t="shared" ca="1" si="112"/>
        <v>#N/A</v>
      </c>
      <c r="AD207" s="323" t="e">
        <f t="shared" ca="1" si="113"/>
        <v>#N/A</v>
      </c>
      <c r="AE207" s="324">
        <f t="shared" ca="1" si="92"/>
        <v>199.81357545071344</v>
      </c>
      <c r="AG207" s="306">
        <f t="shared" ca="1" si="114"/>
        <v>65.859144642333121</v>
      </c>
      <c r="AH207" s="304">
        <f t="shared" ca="1" si="115"/>
        <v>75.615241960824818</v>
      </c>
    </row>
    <row r="208" spans="1:34" x14ac:dyDescent="0.2">
      <c r="A208" s="347">
        <f t="shared" ca="1" si="93"/>
        <v>0.01</v>
      </c>
      <c r="B208" s="304">
        <f t="shared" ca="1" si="94"/>
        <v>2.0400000000000005</v>
      </c>
      <c r="D208" s="306">
        <f t="shared" ca="1" si="95"/>
        <v>7.8891386164633142</v>
      </c>
      <c r="E208" s="307">
        <f t="shared" ca="1" si="96"/>
        <v>65.09592409161769</v>
      </c>
      <c r="F208" s="304">
        <f t="shared" ca="1" si="97"/>
        <v>65.572233768962178</v>
      </c>
      <c r="G208" s="306">
        <f t="shared" ca="1" si="98"/>
        <v>19.393516219649666</v>
      </c>
      <c r="H208" s="307">
        <f t="shared" ca="1" si="99"/>
        <v>184.03977923400345</v>
      </c>
      <c r="I208" s="304">
        <f t="shared" ca="1" si="100"/>
        <v>185.05877123730866</v>
      </c>
      <c r="J208" s="306">
        <f t="shared" ca="1" si="101"/>
        <v>20.217892726515668</v>
      </c>
      <c r="K208" s="307">
        <f t="shared" ca="1" si="102"/>
        <v>201.65071844684888</v>
      </c>
      <c r="L208" s="304">
        <f t="shared" ca="1" si="87"/>
        <v>202.66172661958453</v>
      </c>
      <c r="M208" s="306">
        <f t="shared" ca="1" si="103"/>
        <v>1.4658070291648049</v>
      </c>
      <c r="N208" s="304">
        <f t="shared" ca="1" si="104"/>
        <v>83.984556351752886</v>
      </c>
      <c r="P208" s="310">
        <f t="shared" ca="1" si="105"/>
        <v>6</v>
      </c>
      <c r="Q208" s="304">
        <f t="shared" ca="1" si="106"/>
        <v>580.88999999999987</v>
      </c>
      <c r="R208" s="306">
        <f t="shared" ca="1" si="107"/>
        <v>0.29152162633540124</v>
      </c>
      <c r="S208" s="307">
        <f t="shared" ca="1" si="108"/>
        <v>6.4467118080811527</v>
      </c>
      <c r="T208" s="304">
        <f t="shared" ca="1" si="88"/>
        <v>63.242242837276109</v>
      </c>
      <c r="U208" s="311">
        <f t="shared" ca="1" si="89"/>
        <v>0</v>
      </c>
      <c r="V208" s="306">
        <f t="shared" ca="1" si="90"/>
        <v>1.2005443618405078</v>
      </c>
      <c r="W208" s="304">
        <f t="shared" ca="1" si="91"/>
        <v>95.983630986647427</v>
      </c>
      <c r="Y208" s="314" t="str">
        <f t="shared" ca="1" si="109"/>
        <v/>
      </c>
      <c r="Z208" s="315" t="str">
        <f t="shared" ca="1" si="110"/>
        <v/>
      </c>
      <c r="AA208" s="316" t="str">
        <f t="shared" ca="1" si="111"/>
        <v/>
      </c>
      <c r="AC208" s="310" t="e">
        <f t="shared" ca="1" si="112"/>
        <v>#N/A</v>
      </c>
      <c r="AD208" s="323" t="e">
        <f t="shared" ca="1" si="113"/>
        <v>#N/A</v>
      </c>
      <c r="AE208" s="324">
        <f t="shared" ca="1" si="92"/>
        <v>201.65071844684888</v>
      </c>
      <c r="AG208" s="306">
        <f t="shared" ca="1" si="114"/>
        <v>65.564182753067584</v>
      </c>
      <c r="AH208" s="304">
        <f t="shared" ca="1" si="115"/>
        <v>75.320222862979932</v>
      </c>
    </row>
    <row r="209" spans="1:34" x14ac:dyDescent="0.2">
      <c r="A209" s="347">
        <f t="shared" ca="1" si="93"/>
        <v>0.01</v>
      </c>
      <c r="B209" s="304">
        <f t="shared" ca="1" si="94"/>
        <v>2.0500000000000003</v>
      </c>
      <c r="D209" s="306">
        <f t="shared" ca="1" si="95"/>
        <v>7.8623589925350785</v>
      </c>
      <c r="E209" s="307">
        <f t="shared" ca="1" si="96"/>
        <v>64.80188558362299</v>
      </c>
      <c r="F209" s="304">
        <f t="shared" ca="1" si="97"/>
        <v>65.277109802138625</v>
      </c>
      <c r="G209" s="306">
        <f t="shared" ca="1" si="98"/>
        <v>19.472139809575015</v>
      </c>
      <c r="H209" s="307">
        <f t="shared" ca="1" si="99"/>
        <v>184.68779808983967</v>
      </c>
      <c r="I209" s="304">
        <f t="shared" ca="1" si="100"/>
        <v>185.71146166038599</v>
      </c>
      <c r="J209" s="306">
        <f t="shared" ca="1" si="101"/>
        <v>20.412221006661792</v>
      </c>
      <c r="K209" s="307">
        <f t="shared" ca="1" si="102"/>
        <v>203.49435633346809</v>
      </c>
      <c r="L209" s="304">
        <f t="shared" ca="1" si="87"/>
        <v>204.51555399528246</v>
      </c>
      <c r="M209" s="306">
        <f t="shared" ca="1" si="103"/>
        <v>1.4657516715737622</v>
      </c>
      <c r="N209" s="304">
        <f t="shared" ca="1" si="104"/>
        <v>83.981384595422128</v>
      </c>
      <c r="P209" s="310">
        <f t="shared" ca="1" si="105"/>
        <v>6</v>
      </c>
      <c r="Q209" s="304">
        <f t="shared" ca="1" si="106"/>
        <v>579.42999999999995</v>
      </c>
      <c r="R209" s="306">
        <f t="shared" ca="1" si="107"/>
        <v>0.29078892035931336</v>
      </c>
      <c r="S209" s="307">
        <f t="shared" ca="1" si="108"/>
        <v>6.4438039188775598</v>
      </c>
      <c r="T209" s="304">
        <f t="shared" ca="1" si="88"/>
        <v>63.213716444188861</v>
      </c>
      <c r="U209" s="311">
        <f t="shared" ca="1" si="89"/>
        <v>0</v>
      </c>
      <c r="V209" s="306">
        <f t="shared" ca="1" si="90"/>
        <v>1.200323022630454</v>
      </c>
      <c r="W209" s="304">
        <f t="shared" ca="1" si="91"/>
        <v>96.644060044577671</v>
      </c>
      <c r="Y209" s="314" t="str">
        <f t="shared" ca="1" si="109"/>
        <v/>
      </c>
      <c r="Z209" s="315" t="str">
        <f t="shared" ca="1" si="110"/>
        <v/>
      </c>
      <c r="AA209" s="316" t="str">
        <f t="shared" ca="1" si="111"/>
        <v/>
      </c>
      <c r="AC209" s="310" t="e">
        <f t="shared" ca="1" si="112"/>
        <v>#N/A</v>
      </c>
      <c r="AD209" s="323" t="e">
        <f t="shared" ca="1" si="113"/>
        <v>#N/A</v>
      </c>
      <c r="AE209" s="324">
        <f t="shared" ca="1" si="92"/>
        <v>203.49435633346809</v>
      </c>
      <c r="AG209" s="306">
        <f t="shared" ca="1" si="114"/>
        <v>65.26901385244075</v>
      </c>
      <c r="AH209" s="304">
        <f t="shared" ca="1" si="115"/>
        <v>75.024996896175509</v>
      </c>
    </row>
    <row r="210" spans="1:34" x14ac:dyDescent="0.2">
      <c r="A210" s="347">
        <f t="shared" ca="1" si="93"/>
        <v>0.01</v>
      </c>
      <c r="B210" s="304">
        <f t="shared" ca="1" si="94"/>
        <v>2.06</v>
      </c>
      <c r="D210" s="306">
        <f t="shared" ca="1" si="95"/>
        <v>7.8355133660800211</v>
      </c>
      <c r="E210" s="307">
        <f t="shared" ca="1" si="96"/>
        <v>64.507652021645612</v>
      </c>
      <c r="F210" s="304">
        <f t="shared" ca="1" si="97"/>
        <v>64.9817854406582</v>
      </c>
      <c r="G210" s="306">
        <f t="shared" ca="1" si="98"/>
        <v>19.550494943235815</v>
      </c>
      <c r="H210" s="307">
        <f t="shared" ca="1" si="99"/>
        <v>185.33287461005614</v>
      </c>
      <c r="I210" s="304">
        <f t="shared" ca="1" si="100"/>
        <v>186.36119838569476</v>
      </c>
      <c r="J210" s="306">
        <f t="shared" ca="1" si="101"/>
        <v>20.607334180425845</v>
      </c>
      <c r="K210" s="307">
        <f t="shared" ca="1" si="102"/>
        <v>205.34445969696756</v>
      </c>
      <c r="L210" s="304">
        <f t="shared" ca="1" si="87"/>
        <v>206.37589333607568</v>
      </c>
      <c r="M210" s="306">
        <f t="shared" ca="1" si="103"/>
        <v>1.465696478003979</v>
      </c>
      <c r="N210" s="304">
        <f t="shared" ca="1" si="104"/>
        <v>83.978222236817288</v>
      </c>
      <c r="P210" s="310">
        <f t="shared" ca="1" si="105"/>
        <v>6</v>
      </c>
      <c r="Q210" s="304">
        <f t="shared" ca="1" si="106"/>
        <v>577.97</v>
      </c>
      <c r="R210" s="306">
        <f t="shared" ca="1" si="107"/>
        <v>0.29005621438322554</v>
      </c>
      <c r="S210" s="307">
        <f t="shared" ca="1" si="108"/>
        <v>6.4409033567337275</v>
      </c>
      <c r="T210" s="304">
        <f t="shared" ca="1" si="88"/>
        <v>63.185261929557868</v>
      </c>
      <c r="U210" s="311">
        <f t="shared" ca="1" si="89"/>
        <v>0</v>
      </c>
      <c r="V210" s="306">
        <f t="shared" ca="1" si="90"/>
        <v>1.2001009478080873</v>
      </c>
      <c r="W210" s="304">
        <f t="shared" ca="1" si="91"/>
        <v>97.303482006885758</v>
      </c>
      <c r="Y210" s="314" t="str">
        <f t="shared" ca="1" si="109"/>
        <v/>
      </c>
      <c r="Z210" s="315" t="str">
        <f t="shared" ca="1" si="110"/>
        <v/>
      </c>
      <c r="AA210" s="316" t="str">
        <f t="shared" ca="1" si="111"/>
        <v/>
      </c>
      <c r="AC210" s="310" t="e">
        <f t="shared" ca="1" si="112"/>
        <v>#N/A</v>
      </c>
      <c r="AD210" s="323" t="e">
        <f t="shared" ca="1" si="113"/>
        <v>#N/A</v>
      </c>
      <c r="AE210" s="324">
        <f t="shared" ca="1" si="92"/>
        <v>205.34445969696756</v>
      </c>
      <c r="AG210" s="306">
        <f t="shared" ca="1" si="114"/>
        <v>64.973644144987588</v>
      </c>
      <c r="AH210" s="304">
        <f t="shared" ca="1" si="115"/>
        <v>74.729570263185806</v>
      </c>
    </row>
    <row r="211" spans="1:34" x14ac:dyDescent="0.2">
      <c r="A211" s="347">
        <f t="shared" ca="1" si="93"/>
        <v>0.01</v>
      </c>
      <c r="B211" s="304">
        <f t="shared" ca="1" si="94"/>
        <v>2.0699999999999998</v>
      </c>
      <c r="D211" s="306">
        <f t="shared" ca="1" si="95"/>
        <v>7.8086026435745595</v>
      </c>
      <c r="E211" s="307">
        <f t="shared" ca="1" si="96"/>
        <v>64.213229530670461</v>
      </c>
      <c r="F211" s="304">
        <f t="shared" ca="1" si="97"/>
        <v>64.686266873300156</v>
      </c>
      <c r="G211" s="306">
        <f t="shared" ca="1" si="98"/>
        <v>19.62858096967156</v>
      </c>
      <c r="H211" s="307">
        <f t="shared" ca="1" si="99"/>
        <v>185.97500690536285</v>
      </c>
      <c r="I211" s="304">
        <f t="shared" ca="1" si="100"/>
        <v>187.00797946700754</v>
      </c>
      <c r="J211" s="306">
        <f t="shared" ca="1" si="101"/>
        <v>20.803229559990381</v>
      </c>
      <c r="K211" s="307">
        <f t="shared" ca="1" si="102"/>
        <v>207.20099910454465</v>
      </c>
      <c r="L211" s="304">
        <f t="shared" ca="1" si="87"/>
        <v>208.24271509478351</v>
      </c>
      <c r="M211" s="306">
        <f t="shared" ca="1" si="103"/>
        <v>1.4656414465317098</v>
      </c>
      <c r="N211" s="304">
        <f t="shared" ca="1" si="104"/>
        <v>83.97506916571588</v>
      </c>
      <c r="P211" s="310">
        <f t="shared" ca="1" si="105"/>
        <v>6</v>
      </c>
      <c r="Q211" s="304">
        <f t="shared" ca="1" si="106"/>
        <v>576.51</v>
      </c>
      <c r="R211" s="306">
        <f t="shared" ca="1" si="107"/>
        <v>0.28932350840713766</v>
      </c>
      <c r="S211" s="307">
        <f t="shared" ca="1" si="108"/>
        <v>6.4380101216496559</v>
      </c>
      <c r="T211" s="304">
        <f t="shared" ca="1" si="88"/>
        <v>63.156879293383128</v>
      </c>
      <c r="U211" s="311">
        <f t="shared" ca="1" si="89"/>
        <v>0</v>
      </c>
      <c r="V211" s="306">
        <f t="shared" ca="1" si="90"/>
        <v>1.1998781413205803</v>
      </c>
      <c r="W211" s="304">
        <f t="shared" ca="1" si="91"/>
        <v>97.961862043887507</v>
      </c>
      <c r="Y211" s="314" t="str">
        <f t="shared" ca="1" si="109"/>
        <v/>
      </c>
      <c r="Z211" s="315" t="str">
        <f t="shared" ca="1" si="110"/>
        <v/>
      </c>
      <c r="AA211" s="316" t="str">
        <f t="shared" ca="1" si="111"/>
        <v/>
      </c>
      <c r="AC211" s="310" t="e">
        <f t="shared" ca="1" si="112"/>
        <v>#N/A</v>
      </c>
      <c r="AD211" s="323" t="e">
        <f t="shared" ca="1" si="113"/>
        <v>#N/A</v>
      </c>
      <c r="AE211" s="324">
        <f t="shared" ca="1" si="92"/>
        <v>207.20099910454465</v>
      </c>
      <c r="AG211" s="306">
        <f t="shared" ca="1" si="114"/>
        <v>64.678079813939846</v>
      </c>
      <c r="AH211" s="304">
        <f t="shared" ca="1" si="115"/>
        <v>74.433949145504585</v>
      </c>
    </row>
    <row r="212" spans="1:34" x14ac:dyDescent="0.2">
      <c r="A212" s="347">
        <f t="shared" ca="1" si="93"/>
        <v>0.01</v>
      </c>
      <c r="B212" s="304">
        <f t="shared" ca="1" si="94"/>
        <v>2.0799999999999996</v>
      </c>
      <c r="D212" s="306">
        <f t="shared" ca="1" si="95"/>
        <v>7.7816277265243512</v>
      </c>
      <c r="E212" s="307">
        <f t="shared" ca="1" si="96"/>
        <v>63.918624214425108</v>
      </c>
      <c r="F212" s="304">
        <f t="shared" ca="1" si="97"/>
        <v>64.390560267317952</v>
      </c>
      <c r="G212" s="306">
        <f t="shared" ca="1" si="98"/>
        <v>19.706397246936803</v>
      </c>
      <c r="H212" s="307">
        <f t="shared" ca="1" si="99"/>
        <v>186.61419314750711</v>
      </c>
      <c r="I212" s="304">
        <f t="shared" ca="1" si="100"/>
        <v>187.65180301971301</v>
      </c>
      <c r="J212" s="306">
        <f t="shared" ca="1" si="101"/>
        <v>20.999904451073423</v>
      </c>
      <c r="K212" s="307">
        <f t="shared" ca="1" si="102"/>
        <v>209.06394510480899</v>
      </c>
      <c r="L212" s="304">
        <f t="shared" ca="1" si="87"/>
        <v>210.11598970506932</v>
      </c>
      <c r="M212" s="306">
        <f t="shared" ca="1" si="103"/>
        <v>1.4655865752592072</v>
      </c>
      <c r="N212" s="304">
        <f t="shared" ca="1" si="104"/>
        <v>83.971925273384969</v>
      </c>
      <c r="P212" s="310">
        <f t="shared" ca="1" si="105"/>
        <v>6</v>
      </c>
      <c r="Q212" s="304">
        <f t="shared" ca="1" si="106"/>
        <v>575.05000000000007</v>
      </c>
      <c r="R212" s="306">
        <f t="shared" ca="1" si="107"/>
        <v>0.28859080243104984</v>
      </c>
      <c r="S212" s="307">
        <f t="shared" ca="1" si="108"/>
        <v>6.435124213625345</v>
      </c>
      <c r="T212" s="304">
        <f t="shared" ca="1" si="88"/>
        <v>63.128568535664641</v>
      </c>
      <c r="U212" s="311">
        <f t="shared" ca="1" si="89"/>
        <v>0</v>
      </c>
      <c r="V212" s="306">
        <f t="shared" ca="1" si="90"/>
        <v>1.1996546071159893</v>
      </c>
      <c r="W212" s="304">
        <f t="shared" ca="1" si="91"/>
        <v>98.619165546275084</v>
      </c>
      <c r="Y212" s="314" t="str">
        <f t="shared" ca="1" si="109"/>
        <v/>
      </c>
      <c r="Z212" s="315" t="str">
        <f t="shared" ca="1" si="110"/>
        <v/>
      </c>
      <c r="AA212" s="316" t="str">
        <f t="shared" ca="1" si="111"/>
        <v/>
      </c>
      <c r="AC212" s="310" t="e">
        <f t="shared" ca="1" si="112"/>
        <v>#N/A</v>
      </c>
      <c r="AD212" s="323" t="e">
        <f t="shared" ca="1" si="113"/>
        <v>#N/A</v>
      </c>
      <c r="AE212" s="324">
        <f t="shared" ca="1" si="92"/>
        <v>209.06394510480899</v>
      </c>
      <c r="AG212" s="306">
        <f t="shared" ca="1" si="114"/>
        <v>64.382327020912271</v>
      </c>
      <c r="AH212" s="304">
        <f t="shared" ca="1" si="115"/>
        <v>74.138139703030888</v>
      </c>
    </row>
    <row r="213" spans="1:34" x14ac:dyDescent="0.2">
      <c r="A213" s="347">
        <f t="shared" ca="1" si="93"/>
        <v>0.01</v>
      </c>
      <c r="B213" s="304">
        <f t="shared" ca="1" si="94"/>
        <v>2.0899999999999994</v>
      </c>
      <c r="D213" s="306">
        <f t="shared" ca="1" si="95"/>
        <v>7.7545895114887253</v>
      </c>
      <c r="E213" s="307">
        <f t="shared" ca="1" si="96"/>
        <v>63.623842155066257</v>
      </c>
      <c r="F213" s="304">
        <f t="shared" ca="1" si="97"/>
        <v>64.094671768131221</v>
      </c>
      <c r="G213" s="306">
        <f t="shared" ca="1" si="98"/>
        <v>19.78394314205169</v>
      </c>
      <c r="H213" s="307">
        <f t="shared" ca="1" si="99"/>
        <v>187.25043156905778</v>
      </c>
      <c r="I213" s="304">
        <f t="shared" ca="1" si="100"/>
        <v>188.2926672205966</v>
      </c>
      <c r="J213" s="306">
        <f t="shared" ca="1" si="101"/>
        <v>21.197356153018365</v>
      </c>
      <c r="K213" s="307">
        <f t="shared" ca="1" si="102"/>
        <v>210.93326822839182</v>
      </c>
      <c r="L213" s="304">
        <f t="shared" ca="1" si="87"/>
        <v>211.99568758205578</v>
      </c>
      <c r="M213" s="306">
        <f t="shared" ca="1" si="103"/>
        <v>1.4655318623142255</v>
      </c>
      <c r="N213" s="304">
        <f t="shared" ca="1" si="104"/>
        <v>83.968790452552781</v>
      </c>
      <c r="P213" s="310">
        <f t="shared" ca="1" si="105"/>
        <v>6</v>
      </c>
      <c r="Q213" s="304">
        <f t="shared" ca="1" si="106"/>
        <v>573.59</v>
      </c>
      <c r="R213" s="306">
        <f t="shared" ca="1" si="107"/>
        <v>0.28785809645496191</v>
      </c>
      <c r="S213" s="307">
        <f t="shared" ca="1" si="108"/>
        <v>6.4322456326607957</v>
      </c>
      <c r="T213" s="304">
        <f t="shared" ca="1" si="88"/>
        <v>63.100329656402408</v>
      </c>
      <c r="U213" s="311">
        <f t="shared" ca="1" si="89"/>
        <v>0</v>
      </c>
      <c r="V213" s="306">
        <f t="shared" ca="1" si="90"/>
        <v>1.1994303491431566</v>
      </c>
      <c r="W213" s="304">
        <f t="shared" ca="1" si="91"/>
        <v>99.275358126320654</v>
      </c>
      <c r="Y213" s="314" t="str">
        <f t="shared" ca="1" si="109"/>
        <v/>
      </c>
      <c r="Z213" s="315" t="str">
        <f t="shared" ca="1" si="110"/>
        <v/>
      </c>
      <c r="AA213" s="316" t="str">
        <f t="shared" ca="1" si="111"/>
        <v/>
      </c>
      <c r="AC213" s="310" t="e">
        <f t="shared" ca="1" si="112"/>
        <v>#N/A</v>
      </c>
      <c r="AD213" s="323" t="e">
        <f t="shared" ca="1" si="113"/>
        <v>#N/A</v>
      </c>
      <c r="AE213" s="324">
        <f t="shared" ca="1" si="92"/>
        <v>210.93326822839182</v>
      </c>
      <c r="AG213" s="306">
        <f t="shared" ca="1" si="114"/>
        <v>64.086391905592464</v>
      </c>
      <c r="AH213" s="304">
        <f t="shared" ca="1" si="115"/>
        <v>73.842148073758509</v>
      </c>
    </row>
    <row r="214" spans="1:34" x14ac:dyDescent="0.2">
      <c r="A214" s="347">
        <f t="shared" ca="1" si="93"/>
        <v>0.01</v>
      </c>
      <c r="B214" s="304">
        <f t="shared" ca="1" si="94"/>
        <v>2.0999999999999992</v>
      </c>
      <c r="D214" s="306">
        <f t="shared" ca="1" si="95"/>
        <v>7.7274888901038308</v>
      </c>
      <c r="E214" s="307">
        <f t="shared" ca="1" si="96"/>
        <v>63.328889412870765</v>
      </c>
      <c r="F214" s="304">
        <f t="shared" ca="1" si="97"/>
        <v>63.798607499022211</v>
      </c>
      <c r="G214" s="306">
        <f t="shared" ca="1" si="98"/>
        <v>19.861218030952728</v>
      </c>
      <c r="H214" s="307">
        <f t="shared" ca="1" si="99"/>
        <v>187.88372046318648</v>
      </c>
      <c r="I214" s="304">
        <f t="shared" ca="1" si="100"/>
        <v>188.93057030761815</v>
      </c>
      <c r="J214" s="306">
        <f t="shared" ca="1" si="101"/>
        <v>21.395581958883387</v>
      </c>
      <c r="K214" s="307">
        <f t="shared" ca="1" si="102"/>
        <v>212.80893898855305</v>
      </c>
      <c r="L214" s="304">
        <f t="shared" ca="1" si="87"/>
        <v>213.88177912293744</v>
      </c>
      <c r="M214" s="306">
        <f t="shared" ca="1" si="103"/>
        <v>1.4654773058495338</v>
      </c>
      <c r="N214" s="304">
        <f t="shared" ca="1" si="104"/>
        <v>83.965664597380794</v>
      </c>
      <c r="P214" s="310">
        <f t="shared" ca="1" si="105"/>
        <v>6</v>
      </c>
      <c r="Q214" s="304">
        <f t="shared" ca="1" si="106"/>
        <v>572.13000000000011</v>
      </c>
      <c r="R214" s="306">
        <f t="shared" ca="1" si="107"/>
        <v>0.28712539047887409</v>
      </c>
      <c r="S214" s="307">
        <f t="shared" ca="1" si="108"/>
        <v>6.4293743787560071</v>
      </c>
      <c r="T214" s="304">
        <f t="shared" ca="1" si="88"/>
        <v>63.072162655596436</v>
      </c>
      <c r="U214" s="311">
        <f t="shared" ca="1" si="89"/>
        <v>0</v>
      </c>
      <c r="V214" s="306">
        <f t="shared" ca="1" si="90"/>
        <v>1.1992053713516155</v>
      </c>
      <c r="W214" s="304">
        <f t="shared" ca="1" si="91"/>
        <v>99.930405619051655</v>
      </c>
      <c r="Y214" s="314" t="str">
        <f t="shared" ca="1" si="109"/>
        <v/>
      </c>
      <c r="Z214" s="315" t="str">
        <f t="shared" ca="1" si="110"/>
        <v/>
      </c>
      <c r="AA214" s="316" t="str">
        <f t="shared" ca="1" si="111"/>
        <v/>
      </c>
      <c r="AC214" s="310" t="e">
        <f t="shared" ca="1" si="112"/>
        <v>#N/A</v>
      </c>
      <c r="AD214" s="323" t="e">
        <f t="shared" ca="1" si="113"/>
        <v>#N/A</v>
      </c>
      <c r="AE214" s="324">
        <f t="shared" ca="1" si="92"/>
        <v>212.80893898855305</v>
      </c>
      <c r="AG214" s="306">
        <f t="shared" ca="1" si="114"/>
        <v>63.790280585435212</v>
      </c>
      <c r="AH214" s="304">
        <f t="shared" ca="1" si="115"/>
        <v>73.545980373469888</v>
      </c>
    </row>
    <row r="215" spans="1:34" x14ac:dyDescent="0.2">
      <c r="A215" s="347">
        <f t="shared" ca="1" si="93"/>
        <v>0.01</v>
      </c>
      <c r="B215" s="304">
        <f t="shared" ca="1" si="94"/>
        <v>2.109999999999999</v>
      </c>
      <c r="D215" s="306">
        <f t="shared" ca="1" si="95"/>
        <v>7.7003267491048675</v>
      </c>
      <c r="E215" s="307">
        <f t="shared" ca="1" si="96"/>
        <v>63.03377202593029</v>
      </c>
      <c r="F215" s="304">
        <f t="shared" ca="1" si="97"/>
        <v>63.502373560835757</v>
      </c>
      <c r="G215" s="306">
        <f t="shared" ca="1" si="98"/>
        <v>19.938221298443775</v>
      </c>
      <c r="H215" s="307">
        <f t="shared" ca="1" si="99"/>
        <v>188.51405818344577</v>
      </c>
      <c r="I215" s="304">
        <f t="shared" ca="1" si="100"/>
        <v>189.56551057968667</v>
      </c>
      <c r="J215" s="306">
        <f t="shared" ca="1" si="101"/>
        <v>21.594579155530369</v>
      </c>
      <c r="K215" s="307">
        <f t="shared" ca="1" si="102"/>
        <v>214.69092788178622</v>
      </c>
      <c r="L215" s="304">
        <f t="shared" ca="1" si="87"/>
        <v>215.77423470759155</v>
      </c>
      <c r="M215" s="306">
        <f t="shared" ca="1" si="103"/>
        <v>1.4654229040424427</v>
      </c>
      <c r="N215" s="304">
        <f t="shared" ca="1" si="104"/>
        <v>83.96254760343659</v>
      </c>
      <c r="P215" s="310">
        <f t="shared" ca="1" si="105"/>
        <v>6</v>
      </c>
      <c r="Q215" s="304">
        <f t="shared" ca="1" si="106"/>
        <v>570.67000000000019</v>
      </c>
      <c r="R215" s="306">
        <f t="shared" ca="1" si="107"/>
        <v>0.28639268450278627</v>
      </c>
      <c r="S215" s="307">
        <f t="shared" ca="1" si="108"/>
        <v>6.4265104519109792</v>
      </c>
      <c r="T215" s="304">
        <f t="shared" ca="1" si="88"/>
        <v>63.044067533246711</v>
      </c>
      <c r="U215" s="311">
        <f t="shared" ca="1" si="89"/>
        <v>0</v>
      </c>
      <c r="V215" s="306">
        <f t="shared" ca="1" si="90"/>
        <v>1.1989796776914909</v>
      </c>
      <c r="W215" s="304">
        <f t="shared" ca="1" si="91"/>
        <v>100.5842740833972</v>
      </c>
      <c r="Y215" s="314" t="str">
        <f t="shared" ca="1" si="109"/>
        <v/>
      </c>
      <c r="Z215" s="315" t="str">
        <f t="shared" ca="1" si="110"/>
        <v/>
      </c>
      <c r="AA215" s="316" t="str">
        <f t="shared" ca="1" si="111"/>
        <v/>
      </c>
      <c r="AC215" s="310" t="e">
        <f t="shared" ca="1" si="112"/>
        <v>#N/A</v>
      </c>
      <c r="AD215" s="323" t="e">
        <f t="shared" ca="1" si="113"/>
        <v>#N/A</v>
      </c>
      <c r="AE215" s="324">
        <f t="shared" ca="1" si="92"/>
        <v>214.69092788178622</v>
      </c>
      <c r="AG215" s="306">
        <f t="shared" ca="1" si="114"/>
        <v>63.49399915536037</v>
      </c>
      <c r="AH215" s="304">
        <f t="shared" ca="1" si="115"/>
        <v>73.249642695433565</v>
      </c>
    </row>
    <row r="216" spans="1:34" x14ac:dyDescent="0.2">
      <c r="A216" s="347">
        <f t="shared" ca="1" si="93"/>
        <v>0.01</v>
      </c>
      <c r="B216" s="304">
        <f t="shared" ca="1" si="94"/>
        <v>2.1199999999999988</v>
      </c>
      <c r="D216" s="306">
        <f t="shared" ca="1" si="95"/>
        <v>7.6731039703472028</v>
      </c>
      <c r="E216" s="307">
        <f t="shared" ca="1" si="96"/>
        <v>62.738496009850394</v>
      </c>
      <c r="F216" s="304">
        <f t="shared" ca="1" si="97"/>
        <v>63.205976031683683</v>
      </c>
      <c r="G216" s="306">
        <f t="shared" ca="1" si="98"/>
        <v>20.014952338147246</v>
      </c>
      <c r="H216" s="307">
        <f t="shared" ca="1" si="99"/>
        <v>189.14144314354428</v>
      </c>
      <c r="I216" s="304">
        <f t="shared" ca="1" si="100"/>
        <v>190.19748639643191</v>
      </c>
      <c r="J216" s="306">
        <f t="shared" ca="1" si="101"/>
        <v>21.794345023713323</v>
      </c>
      <c r="K216" s="307">
        <f t="shared" ca="1" si="102"/>
        <v>216.57920538842117</v>
      </c>
      <c r="L216" s="304">
        <f t="shared" ca="1" si="87"/>
        <v>217.67302469918633</v>
      </c>
      <c r="M216" s="306">
        <f t="shared" ca="1" si="103"/>
        <v>1.4653686550943399</v>
      </c>
      <c r="N216" s="304">
        <f t="shared" ca="1" si="104"/>
        <v>83.959439367667272</v>
      </c>
      <c r="P216" s="310">
        <f t="shared" ca="1" si="105"/>
        <v>6</v>
      </c>
      <c r="Q216" s="304">
        <f t="shared" ca="1" si="106"/>
        <v>569.21000000000015</v>
      </c>
      <c r="R216" s="306">
        <f t="shared" ca="1" si="107"/>
        <v>0.28565997852669833</v>
      </c>
      <c r="S216" s="307">
        <f t="shared" ca="1" si="108"/>
        <v>6.423653852125712</v>
      </c>
      <c r="T216" s="304">
        <f t="shared" ca="1" si="88"/>
        <v>63.016044289353239</v>
      </c>
      <c r="U216" s="311">
        <f t="shared" ca="1" si="89"/>
        <v>0</v>
      </c>
      <c r="V216" s="306">
        <f t="shared" ca="1" si="90"/>
        <v>1.1987532721134049</v>
      </c>
      <c r="W216" s="304">
        <f t="shared" ca="1" si="91"/>
        <v>101.23692980330642</v>
      </c>
      <c r="Y216" s="314" t="str">
        <f t="shared" ca="1" si="109"/>
        <v/>
      </c>
      <c r="Z216" s="315" t="str">
        <f t="shared" ca="1" si="110"/>
        <v/>
      </c>
      <c r="AA216" s="316" t="str">
        <f t="shared" ca="1" si="111"/>
        <v/>
      </c>
      <c r="AC216" s="310" t="e">
        <f t="shared" ca="1" si="112"/>
        <v>#N/A</v>
      </c>
      <c r="AD216" s="323" t="e">
        <f t="shared" ca="1" si="113"/>
        <v>#N/A</v>
      </c>
      <c r="AE216" s="324">
        <f t="shared" ca="1" si="92"/>
        <v>216.57920538842117</v>
      </c>
      <c r="AG216" s="306">
        <f t="shared" ca="1" si="114"/>
        <v>63.197553687455006</v>
      </c>
      <c r="AH216" s="304">
        <f t="shared" ca="1" si="115"/>
        <v>72.953141110105989</v>
      </c>
    </row>
    <row r="217" spans="1:34" x14ac:dyDescent="0.2">
      <c r="A217" s="347">
        <f t="shared" ca="1" si="93"/>
        <v>0.01</v>
      </c>
      <c r="B217" s="304">
        <f t="shared" ca="1" si="94"/>
        <v>2.1299999999999986</v>
      </c>
      <c r="D217" s="306">
        <f t="shared" ca="1" si="95"/>
        <v>7.6458214308265777</v>
      </c>
      <c r="E217" s="307">
        <f t="shared" ca="1" si="96"/>
        <v>62.443067357453671</v>
      </c>
      <c r="F217" s="304">
        <f t="shared" ca="1" si="97"/>
        <v>62.909420966653187</v>
      </c>
      <c r="G217" s="306">
        <f t="shared" ca="1" si="98"/>
        <v>20.09141055245551</v>
      </c>
      <c r="H217" s="307">
        <f t="shared" ca="1" si="99"/>
        <v>189.7658738171188</v>
      </c>
      <c r="I217" s="304">
        <f t="shared" ca="1" si="100"/>
        <v>190.8264961779731</v>
      </c>
      <c r="J217" s="306">
        <f t="shared" ca="1" si="101"/>
        <v>21.994876838166338</v>
      </c>
      <c r="K217" s="307">
        <f t="shared" ca="1" si="102"/>
        <v>218.47374197322449</v>
      </c>
      <c r="L217" s="304">
        <f t="shared" ca="1" si="87"/>
        <v>219.57811944478706</v>
      </c>
      <c r="M217" s="306">
        <f t="shared" ca="1" si="103"/>
        <v>1.4653145572302386</v>
      </c>
      <c r="N217" s="304">
        <f t="shared" ca="1" si="104"/>
        <v>83.956339788373597</v>
      </c>
      <c r="P217" s="310">
        <f t="shared" ca="1" si="105"/>
        <v>6</v>
      </c>
      <c r="Q217" s="304">
        <f t="shared" ca="1" si="106"/>
        <v>567.75000000000023</v>
      </c>
      <c r="R217" s="306">
        <f t="shared" ca="1" si="107"/>
        <v>0.28492727255061051</v>
      </c>
      <c r="S217" s="307">
        <f t="shared" ca="1" si="108"/>
        <v>6.4208045794002055</v>
      </c>
      <c r="T217" s="304">
        <f t="shared" ca="1" si="88"/>
        <v>62.988092923916021</v>
      </c>
      <c r="U217" s="311">
        <f t="shared" ca="1" si="89"/>
        <v>0</v>
      </c>
      <c r="V217" s="306">
        <f t="shared" ca="1" si="90"/>
        <v>1.1985261585683789</v>
      </c>
      <c r="W217" s="304">
        <f t="shared" ca="1" si="91"/>
        <v>101.88833928883786</v>
      </c>
      <c r="Y217" s="314" t="str">
        <f t="shared" ca="1" si="109"/>
        <v/>
      </c>
      <c r="Z217" s="315" t="str">
        <f t="shared" ca="1" si="110"/>
        <v/>
      </c>
      <c r="AA217" s="316" t="str">
        <f t="shared" ca="1" si="111"/>
        <v/>
      </c>
      <c r="AC217" s="310" t="e">
        <f t="shared" ca="1" si="112"/>
        <v>#N/A</v>
      </c>
      <c r="AD217" s="323" t="e">
        <f t="shared" ca="1" si="113"/>
        <v>#N/A</v>
      </c>
      <c r="AE217" s="324">
        <f t="shared" ca="1" si="92"/>
        <v>218.47374197322449</v>
      </c>
      <c r="AG217" s="306">
        <f t="shared" ca="1" si="114"/>
        <v>62.90095023067952</v>
      </c>
      <c r="AH217" s="304">
        <f t="shared" ca="1" si="115"/>
        <v>72.656481664837202</v>
      </c>
    </row>
    <row r="218" spans="1:34" x14ac:dyDescent="0.2">
      <c r="A218" s="347">
        <f t="shared" ca="1" si="93"/>
        <v>0.01</v>
      </c>
      <c r="B218" s="304">
        <f t="shared" ca="1" si="94"/>
        <v>2.1399999999999983</v>
      </c>
      <c r="D218" s="306">
        <f t="shared" ca="1" si="95"/>
        <v>7.6184800026983153</v>
      </c>
      <c r="E218" s="307">
        <f t="shared" ca="1" si="96"/>
        <v>62.147492038486973</v>
      </c>
      <c r="F218" s="304">
        <f t="shared" ca="1" si="97"/>
        <v>62.612714397519262</v>
      </c>
      <c r="G218" s="306">
        <f t="shared" ca="1" si="98"/>
        <v>20.167595352482493</v>
      </c>
      <c r="H218" s="307">
        <f t="shared" ca="1" si="99"/>
        <v>190.38734873750366</v>
      </c>
      <c r="I218" s="304">
        <f t="shared" ca="1" si="100"/>
        <v>191.45253840468482</v>
      </c>
      <c r="J218" s="306">
        <f t="shared" ca="1" si="101"/>
        <v>22.196171867691028</v>
      </c>
      <c r="K218" s="307">
        <f t="shared" ca="1" si="102"/>
        <v>220.3745080859976</v>
      </c>
      <c r="L218" s="304">
        <f t="shared" ca="1" si="87"/>
        <v>221.48948927595978</v>
      </c>
      <c r="M218" s="306">
        <f t="shared" ca="1" si="103"/>
        <v>1.4652606086983351</v>
      </c>
      <c r="N218" s="304">
        <f t="shared" ca="1" si="104"/>
        <v>83.953248765184597</v>
      </c>
      <c r="P218" s="310">
        <f t="shared" ca="1" si="105"/>
        <v>6</v>
      </c>
      <c r="Q218" s="304">
        <f t="shared" ca="1" si="106"/>
        <v>566.29000000000019</v>
      </c>
      <c r="R218" s="306">
        <f t="shared" ca="1" si="107"/>
        <v>0.28419456657452263</v>
      </c>
      <c r="S218" s="307">
        <f t="shared" ca="1" si="108"/>
        <v>6.4179626337344606</v>
      </c>
      <c r="T218" s="304">
        <f t="shared" ca="1" si="88"/>
        <v>62.960213436935064</v>
      </c>
      <c r="U218" s="311">
        <f t="shared" ca="1" si="89"/>
        <v>0</v>
      </c>
      <c r="V218" s="306">
        <f t="shared" ca="1" si="90"/>
        <v>1.1982983410077404</v>
      </c>
      <c r="W218" s="304">
        <f t="shared" ca="1" si="91"/>
        <v>102.53846927722115</v>
      </c>
      <c r="Y218" s="314" t="str">
        <f t="shared" ca="1" si="109"/>
        <v/>
      </c>
      <c r="Z218" s="315" t="str">
        <f t="shared" ca="1" si="110"/>
        <v/>
      </c>
      <c r="AA218" s="316" t="str">
        <f t="shared" ca="1" si="111"/>
        <v/>
      </c>
      <c r="AC218" s="310" t="e">
        <f t="shared" ca="1" si="112"/>
        <v>#N/A</v>
      </c>
      <c r="AD218" s="323" t="e">
        <f t="shared" ca="1" si="113"/>
        <v>#N/A</v>
      </c>
      <c r="AE218" s="324">
        <f t="shared" ca="1" si="92"/>
        <v>220.3745080859976</v>
      </c>
      <c r="AG218" s="306">
        <f t="shared" ca="1" si="114"/>
        <v>62.604194810577752</v>
      </c>
      <c r="AH218" s="304">
        <f t="shared" ca="1" si="115"/>
        <v>72.359670383580593</v>
      </c>
    </row>
    <row r="219" spans="1:34" x14ac:dyDescent="0.2">
      <c r="A219" s="347">
        <f t="shared" ca="1" si="93"/>
        <v>0.01</v>
      </c>
      <c r="B219" s="304">
        <f t="shared" ca="1" si="94"/>
        <v>2.1499999999999981</v>
      </c>
      <c r="D219" s="306">
        <f t="shared" ca="1" si="95"/>
        <v>7.5910805532956731</v>
      </c>
      <c r="E219" s="307">
        <f t="shared" ca="1" si="96"/>
        <v>61.851775999332787</v>
      </c>
      <c r="F219" s="304">
        <f t="shared" ca="1" si="97"/>
        <v>62.315862332461251</v>
      </c>
      <c r="G219" s="306">
        <f t="shared" ca="1" si="98"/>
        <v>20.24350615801545</v>
      </c>
      <c r="H219" s="307">
        <f t="shared" ca="1" si="99"/>
        <v>191.00586649749698</v>
      </c>
      <c r="I219" s="304">
        <f t="shared" ca="1" si="100"/>
        <v>192.07561161695995</v>
      </c>
      <c r="J219" s="306">
        <f t="shared" ca="1" si="101"/>
        <v>22.398227375243518</v>
      </c>
      <c r="K219" s="307">
        <f t="shared" ca="1" si="102"/>
        <v>222.2814741621726</v>
      </c>
      <c r="L219" s="304">
        <f t="shared" ca="1" si="87"/>
        <v>223.40710450937257</v>
      </c>
      <c r="M219" s="306">
        <f t="shared" ca="1" si="103"/>
        <v>1.4652068077695761</v>
      </c>
      <c r="N219" s="304">
        <f t="shared" ca="1" si="104"/>
        <v>83.950166199032836</v>
      </c>
      <c r="P219" s="310">
        <f t="shared" ca="1" si="105"/>
        <v>6</v>
      </c>
      <c r="Q219" s="304">
        <f t="shared" ca="1" si="106"/>
        <v>564.83000000000027</v>
      </c>
      <c r="R219" s="306">
        <f t="shared" ca="1" si="107"/>
        <v>0.28346186059843481</v>
      </c>
      <c r="S219" s="307">
        <f t="shared" ca="1" si="108"/>
        <v>6.4151280151284764</v>
      </c>
      <c r="T219" s="304">
        <f t="shared" ca="1" si="88"/>
        <v>62.93240582841036</v>
      </c>
      <c r="U219" s="311">
        <f t="shared" ca="1" si="89"/>
        <v>0</v>
      </c>
      <c r="V219" s="306">
        <f t="shared" ca="1" si="90"/>
        <v>1.1980698233830271</v>
      </c>
      <c r="W219" s="304">
        <f t="shared" ca="1" si="91"/>
        <v>103.18728673388998</v>
      </c>
      <c r="Y219" s="314" t="str">
        <f t="shared" ca="1" si="109"/>
        <v/>
      </c>
      <c r="Z219" s="315" t="str">
        <f t="shared" ca="1" si="110"/>
        <v/>
      </c>
      <c r="AA219" s="316" t="str">
        <f t="shared" ca="1" si="111"/>
        <v/>
      </c>
      <c r="AC219" s="310" t="e">
        <f t="shared" ca="1" si="112"/>
        <v>#N/A</v>
      </c>
      <c r="AD219" s="323" t="e">
        <f t="shared" ca="1" si="113"/>
        <v>#N/A</v>
      </c>
      <c r="AE219" s="324">
        <f t="shared" ca="1" si="92"/>
        <v>222.2814741621726</v>
      </c>
      <c r="AG219" s="306">
        <f t="shared" ca="1" si="114"/>
        <v>62.307293428991159</v>
      </c>
      <c r="AH219" s="304">
        <f t="shared" ca="1" si="115"/>
        <v>72.062713266606693</v>
      </c>
    </row>
    <row r="220" spans="1:34" x14ac:dyDescent="0.2">
      <c r="A220" s="347">
        <f t="shared" ca="1" si="93"/>
        <v>0.01</v>
      </c>
      <c r="B220" s="304">
        <f t="shared" ca="1" si="94"/>
        <v>2.1599999999999979</v>
      </c>
      <c r="D220" s="306">
        <f t="shared" ca="1" si="95"/>
        <v>7.5636239451473575</v>
      </c>
      <c r="E220" s="307">
        <f t="shared" ca="1" si="96"/>
        <v>61.555925162724719</v>
      </c>
      <c r="F220" s="304">
        <f t="shared" ca="1" si="97"/>
        <v>62.01887075578346</v>
      </c>
      <c r="G220" s="306">
        <f t="shared" ca="1" si="98"/>
        <v>20.319142397466923</v>
      </c>
      <c r="H220" s="307">
        <f t="shared" ca="1" si="99"/>
        <v>191.62142574912423</v>
      </c>
      <c r="I220" s="304">
        <f t="shared" ca="1" si="100"/>
        <v>192.69571441496998</v>
      </c>
      <c r="J220" s="306">
        <f t="shared" ca="1" si="101"/>
        <v>22.601040618020932</v>
      </c>
      <c r="K220" s="307">
        <f t="shared" ca="1" si="102"/>
        <v>224.19461062340571</v>
      </c>
      <c r="L220" s="304">
        <f t="shared" ca="1" si="87"/>
        <v>225.33093544739464</v>
      </c>
      <c r="M220" s="306">
        <f t="shared" ca="1" si="103"/>
        <v>1.4651531527372377</v>
      </c>
      <c r="N220" s="304">
        <f t="shared" ca="1" si="104"/>
        <v>83.947091992130197</v>
      </c>
      <c r="P220" s="310">
        <f t="shared" ca="1" si="105"/>
        <v>6</v>
      </c>
      <c r="Q220" s="304">
        <f t="shared" ca="1" si="106"/>
        <v>563.37000000000035</v>
      </c>
      <c r="R220" s="306">
        <f t="shared" ca="1" si="107"/>
        <v>0.28272915462234693</v>
      </c>
      <c r="S220" s="307">
        <f t="shared" ca="1" si="108"/>
        <v>6.4123007235822529</v>
      </c>
      <c r="T220" s="304">
        <f t="shared" ca="1" si="88"/>
        <v>62.904670098341903</v>
      </c>
      <c r="U220" s="311">
        <f t="shared" ca="1" si="89"/>
        <v>0</v>
      </c>
      <c r="V220" s="306">
        <f t="shared" ca="1" si="90"/>
        <v>1.1978406096458933</v>
      </c>
      <c r="W220" s="304">
        <f t="shared" ca="1" si="91"/>
        <v>103.83475885348717</v>
      </c>
      <c r="Y220" s="314" t="str">
        <f t="shared" ca="1" si="109"/>
        <v/>
      </c>
      <c r="Z220" s="315" t="str">
        <f t="shared" ca="1" si="110"/>
        <v/>
      </c>
      <c r="AA220" s="316" t="str">
        <f t="shared" ca="1" si="111"/>
        <v/>
      </c>
      <c r="AC220" s="310" t="e">
        <f t="shared" ca="1" si="112"/>
        <v>#N/A</v>
      </c>
      <c r="AD220" s="323" t="e">
        <f t="shared" ca="1" si="113"/>
        <v>#N/A</v>
      </c>
      <c r="AE220" s="324">
        <f t="shared" ca="1" si="92"/>
        <v>224.19461062340571</v>
      </c>
      <c r="AG220" s="306">
        <f t="shared" ca="1" si="114"/>
        <v>62.010252063776974</v>
      </c>
      <c r="AH220" s="304">
        <f t="shared" ca="1" si="115"/>
        <v>71.76561629022099</v>
      </c>
    </row>
    <row r="221" spans="1:34" x14ac:dyDescent="0.2">
      <c r="A221" s="347">
        <f t="shared" ca="1" si="93"/>
        <v>0.01</v>
      </c>
      <c r="B221" s="304">
        <f t="shared" ca="1" si="94"/>
        <v>2.1699999999999977</v>
      </c>
      <c r="D221" s="306">
        <f t="shared" ca="1" si="95"/>
        <v>7.5361110359941437</v>
      </c>
      <c r="E221" s="307">
        <f t="shared" ca="1" si="96"/>
        <v>61.259945427467173</v>
      </c>
      <c r="F221" s="304">
        <f t="shared" ca="1" si="97"/>
        <v>61.721745627639933</v>
      </c>
      <c r="G221" s="306">
        <f t="shared" ca="1" si="98"/>
        <v>20.394503507826865</v>
      </c>
      <c r="H221" s="307">
        <f t="shared" ca="1" si="99"/>
        <v>192.23402520339889</v>
      </c>
      <c r="I221" s="304">
        <f t="shared" ca="1" si="100"/>
        <v>193.31284545842203</v>
      </c>
      <c r="J221" s="306">
        <f t="shared" ca="1" si="101"/>
        <v>22.804608847547399</v>
      </c>
      <c r="K221" s="307">
        <f t="shared" ca="1" si="102"/>
        <v>226.11388787816833</v>
      </c>
      <c r="L221" s="304">
        <f t="shared" ca="1" si="87"/>
        <v>227.26095237869288</v>
      </c>
      <c r="M221" s="306">
        <f t="shared" ca="1" si="103"/>
        <v>1.4650996419165117</v>
      </c>
      <c r="N221" s="304">
        <f t="shared" ca="1" si="104"/>
        <v>83.94402604794432</v>
      </c>
      <c r="P221" s="310">
        <f t="shared" ca="1" si="105"/>
        <v>6</v>
      </c>
      <c r="Q221" s="304">
        <f t="shared" ca="1" si="106"/>
        <v>561.91000000000031</v>
      </c>
      <c r="R221" s="306">
        <f t="shared" ca="1" si="107"/>
        <v>0.28199644864625906</v>
      </c>
      <c r="S221" s="307">
        <f t="shared" ca="1" si="108"/>
        <v>6.4094807590957901</v>
      </c>
      <c r="T221" s="304">
        <f t="shared" ca="1" si="88"/>
        <v>62.877006246729707</v>
      </c>
      <c r="U221" s="311">
        <f t="shared" ca="1" si="89"/>
        <v>0</v>
      </c>
      <c r="V221" s="306">
        <f t="shared" ca="1" si="90"/>
        <v>1.1976107037480137</v>
      </c>
      <c r="W221" s="304">
        <f t="shared" ca="1" si="91"/>
        <v>104.48085306084114</v>
      </c>
      <c r="Y221" s="314" t="str">
        <f t="shared" ca="1" si="109"/>
        <v/>
      </c>
      <c r="Z221" s="315" t="str">
        <f t="shared" ca="1" si="110"/>
        <v/>
      </c>
      <c r="AA221" s="316" t="str">
        <f t="shared" ca="1" si="111"/>
        <v/>
      </c>
      <c r="AC221" s="310" t="e">
        <f t="shared" ca="1" si="112"/>
        <v>#N/A</v>
      </c>
      <c r="AD221" s="323" t="e">
        <f t="shared" ca="1" si="113"/>
        <v>#N/A</v>
      </c>
      <c r="AE221" s="324">
        <f t="shared" ca="1" si="92"/>
        <v>226.11388787816833</v>
      </c>
      <c r="AG221" s="306">
        <f t="shared" ca="1" si="114"/>
        <v>61.713076668530441</v>
      </c>
      <c r="AH221" s="304">
        <f t="shared" ca="1" si="115"/>
        <v>71.468385406485808</v>
      </c>
    </row>
    <row r="222" spans="1:34" x14ac:dyDescent="0.2">
      <c r="A222" s="347">
        <f t="shared" ca="1" si="93"/>
        <v>0.01</v>
      </c>
      <c r="B222" s="304">
        <f t="shared" ca="1" si="94"/>
        <v>2.1799999999999975</v>
      </c>
      <c r="D222" s="306">
        <f t="shared" ca="1" si="95"/>
        <v>7.5085426788048011</v>
      </c>
      <c r="E222" s="307">
        <f t="shared" ca="1" si="96"/>
        <v>60.963842668159174</v>
      </c>
      <c r="F222" s="304">
        <f t="shared" ca="1" si="97"/>
        <v>61.424492883763378</v>
      </c>
      <c r="G222" s="306">
        <f t="shared" ca="1" si="98"/>
        <v>20.469588934614912</v>
      </c>
      <c r="H222" s="307">
        <f t="shared" ca="1" si="99"/>
        <v>192.84366363008047</v>
      </c>
      <c r="I222" s="304">
        <f t="shared" ca="1" si="100"/>
        <v>193.92700346631392</v>
      </c>
      <c r="J222" s="306">
        <f t="shared" ca="1" si="101"/>
        <v>23.008929309759608</v>
      </c>
      <c r="K222" s="307">
        <f t="shared" ca="1" si="102"/>
        <v>228.03927632233572</v>
      </c>
      <c r="L222" s="304">
        <f t="shared" ca="1" si="87"/>
        <v>229.19712557882593</v>
      </c>
      <c r="M222" s="306">
        <f t="shared" ca="1" si="103"/>
        <v>1.4650462736441034</v>
      </c>
      <c r="N222" s="304">
        <f t="shared" ca="1" si="104"/>
        <v>83.940968271175421</v>
      </c>
      <c r="P222" s="310">
        <f t="shared" ca="1" si="105"/>
        <v>6</v>
      </c>
      <c r="Q222" s="304">
        <f t="shared" ca="1" si="106"/>
        <v>560.45000000000039</v>
      </c>
      <c r="R222" s="306">
        <f t="shared" ca="1" si="107"/>
        <v>0.28126374267017124</v>
      </c>
      <c r="S222" s="307">
        <f t="shared" ca="1" si="108"/>
        <v>6.4066681216690879</v>
      </c>
      <c r="T222" s="304">
        <f t="shared" ca="1" si="88"/>
        <v>62.849414273573757</v>
      </c>
      <c r="U222" s="311">
        <f t="shared" ca="1" si="89"/>
        <v>0</v>
      </c>
      <c r="V222" s="306">
        <f t="shared" ca="1" si="90"/>
        <v>1.1973801096409924</v>
      </c>
      <c r="W222" s="304">
        <f t="shared" ca="1" si="91"/>
        <v>105.12553701191517</v>
      </c>
      <c r="Y222" s="314" t="str">
        <f t="shared" ca="1" si="109"/>
        <v/>
      </c>
      <c r="Z222" s="315" t="str">
        <f t="shared" ca="1" si="110"/>
        <v/>
      </c>
      <c r="AA222" s="316" t="str">
        <f t="shared" ca="1" si="111"/>
        <v/>
      </c>
      <c r="AC222" s="310" t="e">
        <f t="shared" ca="1" si="112"/>
        <v>#N/A</v>
      </c>
      <c r="AD222" s="323" t="e">
        <f t="shared" ca="1" si="113"/>
        <v>#N/A</v>
      </c>
      <c r="AE222" s="324">
        <f t="shared" ca="1" si="92"/>
        <v>228.03927632233572</v>
      </c>
      <c r="AG222" s="306">
        <f t="shared" ca="1" si="114"/>
        <v>61.415773172311262</v>
      </c>
      <c r="AH222" s="304">
        <f t="shared" ca="1" si="115"/>
        <v>71.171026542946407</v>
      </c>
    </row>
    <row r="223" spans="1:34" x14ac:dyDescent="0.2">
      <c r="A223" s="347">
        <f t="shared" ca="1" si="93"/>
        <v>0.01</v>
      </c>
      <c r="B223" s="304">
        <f t="shared" ca="1" si="94"/>
        <v>2.1899999999999973</v>
      </c>
      <c r="D223" s="306">
        <f t="shared" ca="1" si="95"/>
        <v>7.4809197217911558</v>
      </c>
      <c r="E223" s="307">
        <f t="shared" ca="1" si="96"/>
        <v>60.667622734922261</v>
      </c>
      <c r="F223" s="304">
        <f t="shared" ca="1" si="97"/>
        <v>61.127118435198142</v>
      </c>
      <c r="G223" s="306">
        <f t="shared" ca="1" si="98"/>
        <v>20.544398131832825</v>
      </c>
      <c r="H223" s="307">
        <f t="shared" ca="1" si="99"/>
        <v>193.4503398574297</v>
      </c>
      <c r="I223" s="304">
        <f t="shared" ca="1" si="100"/>
        <v>194.53818721668583</v>
      </c>
      <c r="J223" s="306">
        <f t="shared" ca="1" si="101"/>
        <v>23.213999245091848</v>
      </c>
      <c r="K223" s="307">
        <f t="shared" ca="1" si="102"/>
        <v>229.97074633977329</v>
      </c>
      <c r="L223" s="304">
        <f t="shared" ca="1" si="87"/>
        <v>231.13942531083586</v>
      </c>
      <c r="M223" s="306">
        <f t="shared" ca="1" si="103"/>
        <v>1.4649930462778373</v>
      </c>
      <c r="N223" s="304">
        <f t="shared" ca="1" si="104"/>
        <v>83.937918567733774</v>
      </c>
      <c r="P223" s="310">
        <f t="shared" ca="1" si="105"/>
        <v>6</v>
      </c>
      <c r="Q223" s="304">
        <f t="shared" ca="1" si="106"/>
        <v>558.99000000000035</v>
      </c>
      <c r="R223" s="306">
        <f t="shared" ca="1" si="107"/>
        <v>0.28053103669408336</v>
      </c>
      <c r="S223" s="307">
        <f t="shared" ca="1" si="108"/>
        <v>6.4038628113021474</v>
      </c>
      <c r="T223" s="304">
        <f t="shared" ca="1" si="88"/>
        <v>62.821894178874068</v>
      </c>
      <c r="U223" s="311">
        <f t="shared" ca="1" si="89"/>
        <v>0</v>
      </c>
      <c r="V223" s="306">
        <f t="shared" ca="1" si="90"/>
        <v>1.1971488312762697</v>
      </c>
      <c r="W223" s="304">
        <f t="shared" ca="1" si="91"/>
        <v>105.76877859472819</v>
      </c>
      <c r="Y223" s="314" t="str">
        <f t="shared" ca="1" si="109"/>
        <v/>
      </c>
      <c r="Z223" s="315" t="str">
        <f t="shared" ca="1" si="110"/>
        <v/>
      </c>
      <c r="AA223" s="316" t="str">
        <f t="shared" ca="1" si="111"/>
        <v/>
      </c>
      <c r="AC223" s="310" t="e">
        <f t="shared" ca="1" si="112"/>
        <v>#N/A</v>
      </c>
      <c r="AD223" s="323" t="e">
        <f t="shared" ca="1" si="113"/>
        <v>#N/A</v>
      </c>
      <c r="AE223" s="324">
        <f t="shared" ca="1" si="92"/>
        <v>229.97074633977329</v>
      </c>
      <c r="AG223" s="306">
        <f t="shared" ca="1" si="114"/>
        <v>61.118347479373739</v>
      </c>
      <c r="AH223" s="304">
        <f t="shared" ca="1" si="115"/>
        <v>70.873545602360792</v>
      </c>
    </row>
    <row r="224" spans="1:34" x14ac:dyDescent="0.2">
      <c r="A224" s="347">
        <f t="shared" ca="1" si="93"/>
        <v>0.01</v>
      </c>
      <c r="B224" s="304">
        <f t="shared" ca="1" si="94"/>
        <v>2.1999999999999971</v>
      </c>
      <c r="D224" s="306">
        <f t="shared" ca="1" si="95"/>
        <v>7.4532430084225503</v>
      </c>
      <c r="E224" s="307">
        <f t="shared" ca="1" si="96"/>
        <v>60.371291453132642</v>
      </c>
      <c r="F224" s="304">
        <f t="shared" ca="1" si="97"/>
        <v>60.829628168037374</v>
      </c>
      <c r="G224" s="306">
        <f t="shared" ca="1" si="98"/>
        <v>20.61893056191705</v>
      </c>
      <c r="H224" s="307">
        <f t="shared" ca="1" si="99"/>
        <v>194.05405277196101</v>
      </c>
      <c r="I224" s="304">
        <f t="shared" ca="1" si="100"/>
        <v>195.14639554636972</v>
      </c>
      <c r="J224" s="306">
        <f t="shared" ca="1" si="101"/>
        <v>23.419815888560599</v>
      </c>
      <c r="K224" s="307">
        <f t="shared" ca="1" si="102"/>
        <v>231.90826830292025</v>
      </c>
      <c r="L224" s="304">
        <f t="shared" ca="1" si="87"/>
        <v>233.08782182583741</v>
      </c>
      <c r="M224" s="306">
        <f t="shared" ca="1" si="103"/>
        <v>1.4649399581962714</v>
      </c>
      <c r="N224" s="304">
        <f t="shared" ca="1" si="104"/>
        <v>83.934876844717607</v>
      </c>
      <c r="P224" s="310">
        <f t="shared" ca="1" si="105"/>
        <v>6</v>
      </c>
      <c r="Q224" s="304">
        <f t="shared" ca="1" si="106"/>
        <v>557.53000000000043</v>
      </c>
      <c r="R224" s="306">
        <f t="shared" ca="1" si="107"/>
        <v>0.27979833071799548</v>
      </c>
      <c r="S224" s="307">
        <f t="shared" ca="1" si="108"/>
        <v>6.4010648279949676</v>
      </c>
      <c r="T224" s="304">
        <f t="shared" ca="1" si="88"/>
        <v>62.794445962630633</v>
      </c>
      <c r="U224" s="311">
        <f t="shared" ca="1" si="89"/>
        <v>0</v>
      </c>
      <c r="V224" s="306">
        <f t="shared" ca="1" si="90"/>
        <v>1.1969168726050274</v>
      </c>
      <c r="W224" s="304">
        <f t="shared" ca="1" si="91"/>
        <v>106.41054593024769</v>
      </c>
      <c r="Y224" s="314" t="str">
        <f t="shared" ca="1" si="109"/>
        <v/>
      </c>
      <c r="Z224" s="315" t="str">
        <f t="shared" ca="1" si="110"/>
        <v/>
      </c>
      <c r="AA224" s="316" t="str">
        <f t="shared" ca="1" si="111"/>
        <v/>
      </c>
      <c r="AC224" s="310" t="e">
        <f t="shared" ca="1" si="112"/>
        <v>#N/A</v>
      </c>
      <c r="AD224" s="323" t="e">
        <f t="shared" ca="1" si="113"/>
        <v>#N/A</v>
      </c>
      <c r="AE224" s="324">
        <f t="shared" ca="1" si="92"/>
        <v>231.90826830292025</v>
      </c>
      <c r="AG224" s="306">
        <f t="shared" ca="1" si="114"/>
        <v>60.820805468901476</v>
      </c>
      <c r="AH224" s="304">
        <f t="shared" ca="1" si="115"/>
        <v>70.57594846243407</v>
      </c>
    </row>
    <row r="225" spans="1:34" x14ac:dyDescent="0.2">
      <c r="A225" s="347">
        <f t="shared" ca="1" si="93"/>
        <v>0.01</v>
      </c>
      <c r="B225" s="304">
        <f t="shared" ca="1" si="94"/>
        <v>2.2099999999999969</v>
      </c>
      <c r="D225" s="306">
        <f t="shared" ca="1" si="95"/>
        <v>7.4255133774395148</v>
      </c>
      <c r="E225" s="307">
        <f t="shared" ca="1" si="96"/>
        <v>60.074854623157378</v>
      </c>
      <c r="F225" s="304">
        <f t="shared" ca="1" si="97"/>
        <v>60.532027943164323</v>
      </c>
      <c r="G225" s="306">
        <f t="shared" ca="1" si="98"/>
        <v>20.693185695691447</v>
      </c>
      <c r="H225" s="307">
        <f t="shared" ca="1" si="99"/>
        <v>194.6548013181926</v>
      </c>
      <c r="I225" s="304">
        <f t="shared" ca="1" si="100"/>
        <v>195.75162735073599</v>
      </c>
      <c r="J225" s="306">
        <f t="shared" ca="1" si="101"/>
        <v>23.62637646984864</v>
      </c>
      <c r="K225" s="307">
        <f t="shared" ca="1" si="102"/>
        <v>233.85181257337101</v>
      </c>
      <c r="L225" s="304">
        <f t="shared" ca="1" si="87"/>
        <v>235.04228536360444</v>
      </c>
      <c r="M225" s="306">
        <f t="shared" ca="1" si="103"/>
        <v>1.4648870077983209</v>
      </c>
      <c r="N225" s="304">
        <f t="shared" ca="1" si="104"/>
        <v>83.931843010391503</v>
      </c>
      <c r="P225" s="310">
        <f t="shared" ca="1" si="105"/>
        <v>6</v>
      </c>
      <c r="Q225" s="304">
        <f t="shared" ca="1" si="106"/>
        <v>556.07000000000039</v>
      </c>
      <c r="R225" s="306">
        <f t="shared" ca="1" si="107"/>
        <v>0.2790656247419076</v>
      </c>
      <c r="S225" s="307">
        <f t="shared" ca="1" si="108"/>
        <v>6.3982741717475484</v>
      </c>
      <c r="T225" s="304">
        <f t="shared" ca="1" si="88"/>
        <v>62.767069624843451</v>
      </c>
      <c r="U225" s="311">
        <f t="shared" ca="1" si="89"/>
        <v>0</v>
      </c>
      <c r="V225" s="306">
        <f t="shared" ca="1" si="90"/>
        <v>1.1966842375780999</v>
      </c>
      <c r="W225" s="304">
        <f t="shared" ca="1" si="91"/>
        <v>107.05080737325542</v>
      </c>
      <c r="Y225" s="314" t="str">
        <f t="shared" ca="1" si="109"/>
        <v/>
      </c>
      <c r="Z225" s="315" t="str">
        <f t="shared" ca="1" si="110"/>
        <v/>
      </c>
      <c r="AA225" s="316" t="str">
        <f t="shared" ca="1" si="111"/>
        <v/>
      </c>
      <c r="AC225" s="310" t="e">
        <f t="shared" ca="1" si="112"/>
        <v>#N/A</v>
      </c>
      <c r="AD225" s="323" t="e">
        <f t="shared" ca="1" si="113"/>
        <v>#N/A</v>
      </c>
      <c r="AE225" s="324">
        <f t="shared" ca="1" si="92"/>
        <v>233.85181257337101</v>
      </c>
      <c r="AG225" s="306">
        <f t="shared" ca="1" si="114"/>
        <v>60.523152994745622</v>
      </c>
      <c r="AH225" s="304">
        <f t="shared" ca="1" si="115"/>
        <v>70.2782409755564</v>
      </c>
    </row>
    <row r="226" spans="1:34" x14ac:dyDescent="0.2">
      <c r="A226" s="347">
        <f t="shared" ca="1" si="93"/>
        <v>0.01</v>
      </c>
      <c r="B226" s="304">
        <f t="shared" ca="1" si="94"/>
        <v>2.2199999999999966</v>
      </c>
      <c r="D226" s="306">
        <f t="shared" ca="1" si="95"/>
        <v>7.3977316628668603</v>
      </c>
      <c r="E226" s="307">
        <f t="shared" ca="1" si="96"/>
        <v>59.778318020094773</v>
      </c>
      <c r="F226" s="304">
        <f t="shared" ca="1" si="97"/>
        <v>60.234323595997743</v>
      </c>
      <c r="G226" s="306">
        <f t="shared" ca="1" si="98"/>
        <v>20.767163012320115</v>
      </c>
      <c r="H226" s="307">
        <f t="shared" ca="1" si="99"/>
        <v>195.25258449839353</v>
      </c>
      <c r="I226" s="304">
        <f t="shared" ca="1" si="100"/>
        <v>196.35388158343747</v>
      </c>
      <c r="J226" s="306">
        <f t="shared" ca="1" si="101"/>
        <v>23.833678213388698</v>
      </c>
      <c r="K226" s="307">
        <f t="shared" ca="1" si="102"/>
        <v>235.80134950245395</v>
      </c>
      <c r="L226" s="304">
        <f t="shared" ca="1" si="87"/>
        <v>237.00278615315432</v>
      </c>
      <c r="M226" s="306">
        <f t="shared" ca="1" si="103"/>
        <v>1.4648341935028895</v>
      </c>
      <c r="N226" s="304">
        <f t="shared" ca="1" si="104"/>
        <v>83.928816974165315</v>
      </c>
      <c r="P226" s="310">
        <f t="shared" ca="1" si="105"/>
        <v>6</v>
      </c>
      <c r="Q226" s="304">
        <f t="shared" ca="1" si="106"/>
        <v>554.61000000000047</v>
      </c>
      <c r="R226" s="306">
        <f t="shared" ca="1" si="107"/>
        <v>0.27833291876581978</v>
      </c>
      <c r="S226" s="307">
        <f t="shared" ca="1" si="108"/>
        <v>6.39549084255989</v>
      </c>
      <c r="T226" s="304">
        <f t="shared" ca="1" si="88"/>
        <v>62.739765165512523</v>
      </c>
      <c r="U226" s="311">
        <f t="shared" ca="1" si="89"/>
        <v>0</v>
      </c>
      <c r="V226" s="306">
        <f t="shared" ca="1" si="90"/>
        <v>1.1964509301458814</v>
      </c>
      <c r="W226" s="304">
        <f t="shared" ca="1" si="91"/>
        <v>107.68953151318486</v>
      </c>
      <c r="Y226" s="314" t="str">
        <f t="shared" ca="1" si="109"/>
        <v/>
      </c>
      <c r="Z226" s="315" t="str">
        <f t="shared" ca="1" si="110"/>
        <v/>
      </c>
      <c r="AA226" s="316" t="str">
        <f t="shared" ca="1" si="111"/>
        <v/>
      </c>
      <c r="AC226" s="310" t="e">
        <f t="shared" ca="1" si="112"/>
        <v>#N/A</v>
      </c>
      <c r="AD226" s="323" t="e">
        <f t="shared" ca="1" si="113"/>
        <v>#N/A</v>
      </c>
      <c r="AE226" s="324">
        <f t="shared" ca="1" si="92"/>
        <v>235.80134950245395</v>
      </c>
      <c r="AG226" s="306">
        <f t="shared" ca="1" si="114"/>
        <v>60.225395885167622</v>
      </c>
      <c r="AH226" s="304">
        <f t="shared" ca="1" si="115"/>
        <v>69.980428968545411</v>
      </c>
    </row>
    <row r="227" spans="1:34" x14ac:dyDescent="0.2">
      <c r="A227" s="347">
        <f t="shared" ca="1" si="93"/>
        <v>0.01</v>
      </c>
      <c r="B227" s="304">
        <f t="shared" ca="1" si="94"/>
        <v>2.2299999999999964</v>
      </c>
      <c r="D227" s="306">
        <f t="shared" ca="1" si="95"/>
        <v>7.3698986940261184</v>
      </c>
      <c r="E227" s="307">
        <f t="shared" ca="1" si="96"/>
        <v>59.481687393518982</v>
      </c>
      <c r="F227" s="304">
        <f t="shared" ca="1" si="97"/>
        <v>59.936520936241557</v>
      </c>
      <c r="G227" s="306">
        <f t="shared" ca="1" si="98"/>
        <v>20.840861999260376</v>
      </c>
      <c r="H227" s="307">
        <f t="shared" ca="1" si="99"/>
        <v>195.84740137232873</v>
      </c>
      <c r="I227" s="304">
        <f t="shared" ca="1" si="100"/>
        <v>196.95315725615126</v>
      </c>
      <c r="J227" s="306">
        <f t="shared" ca="1" si="101"/>
        <v>24.0417183384466</v>
      </c>
      <c r="K227" s="307">
        <f t="shared" ca="1" si="102"/>
        <v>237.75684943180755</v>
      </c>
      <c r="L227" s="304">
        <f t="shared" ca="1" si="87"/>
        <v>238.96929441332918</v>
      </c>
      <c r="M227" s="306">
        <f t="shared" ca="1" si="103"/>
        <v>1.4647815137485096</v>
      </c>
      <c r="N227" s="304">
        <f t="shared" ca="1" si="104"/>
        <v>83.925798646573568</v>
      </c>
      <c r="P227" s="310">
        <f t="shared" ca="1" si="105"/>
        <v>6</v>
      </c>
      <c r="Q227" s="304">
        <f t="shared" ca="1" si="106"/>
        <v>553.15000000000055</v>
      </c>
      <c r="R227" s="306">
        <f t="shared" ca="1" si="107"/>
        <v>0.2776002127897319</v>
      </c>
      <c r="S227" s="307">
        <f t="shared" ca="1" si="108"/>
        <v>6.3927148404319922</v>
      </c>
      <c r="T227" s="304">
        <f t="shared" ca="1" si="88"/>
        <v>62.712532584637849</v>
      </c>
      <c r="U227" s="311">
        <f t="shared" ca="1" si="89"/>
        <v>0</v>
      </c>
      <c r="V227" s="306">
        <f t="shared" ca="1" si="90"/>
        <v>1.1962169542582344</v>
      </c>
      <c r="W227" s="304">
        <f t="shared" ca="1" si="91"/>
        <v>108.32668717493183</v>
      </c>
      <c r="Y227" s="314" t="str">
        <f t="shared" ca="1" si="109"/>
        <v/>
      </c>
      <c r="Z227" s="315" t="str">
        <f t="shared" ca="1" si="110"/>
        <v/>
      </c>
      <c r="AA227" s="316" t="str">
        <f t="shared" ca="1" si="111"/>
        <v/>
      </c>
      <c r="AC227" s="310" t="e">
        <f t="shared" ca="1" si="112"/>
        <v>#N/A</v>
      </c>
      <c r="AD227" s="323" t="e">
        <f t="shared" ca="1" si="113"/>
        <v>#N/A</v>
      </c>
      <c r="AE227" s="324">
        <f t="shared" ca="1" si="92"/>
        <v>237.75684943180755</v>
      </c>
      <c r="AG227" s="306">
        <f t="shared" ca="1" si="114"/>
        <v>59.927539942585852</v>
      </c>
      <c r="AH227" s="304">
        <f t="shared" ca="1" si="115"/>
        <v>69.682518242392518</v>
      </c>
    </row>
    <row r="228" spans="1:34" x14ac:dyDescent="0.2">
      <c r="A228" s="347">
        <f t="shared" ca="1" si="93"/>
        <v>0.01</v>
      </c>
      <c r="B228" s="304">
        <f t="shared" ca="1" si="94"/>
        <v>2.2399999999999962</v>
      </c>
      <c r="D228" s="306">
        <f t="shared" ca="1" si="95"/>
        <v>7.3420152955473243</v>
      </c>
      <c r="E228" s="307">
        <f t="shared" ca="1" si="96"/>
        <v>59.184968467228586</v>
      </c>
      <c r="F228" s="304">
        <f t="shared" ca="1" si="97"/>
        <v>59.638625747638521</v>
      </c>
      <c r="G228" s="306">
        <f t="shared" ca="1" si="98"/>
        <v>20.914282152215851</v>
      </c>
      <c r="H228" s="307">
        <f t="shared" ca="1" si="99"/>
        <v>196.43925105700103</v>
      </c>
      <c r="I228" s="304">
        <f t="shared" ca="1" si="100"/>
        <v>197.5494534383175</v>
      </c>
      <c r="J228" s="306">
        <f t="shared" ca="1" si="101"/>
        <v>24.25049405920398</v>
      </c>
      <c r="K228" s="307">
        <f t="shared" ca="1" si="102"/>
        <v>239.71828269395419</v>
      </c>
      <c r="L228" s="304">
        <f t="shared" ca="1" si="87"/>
        <v>240.94178035337507</v>
      </c>
      <c r="M228" s="306">
        <f t="shared" ca="1" si="103"/>
        <v>1.4647289669929906</v>
      </c>
      <c r="N228" s="304">
        <f t="shared" ca="1" si="104"/>
        <v>83.92278793925523</v>
      </c>
      <c r="P228" s="310">
        <f t="shared" ca="1" si="105"/>
        <v>6</v>
      </c>
      <c r="Q228" s="304">
        <f t="shared" ca="1" si="106"/>
        <v>551.69000000000051</v>
      </c>
      <c r="R228" s="306">
        <f t="shared" ca="1" si="107"/>
        <v>0.27686750681364403</v>
      </c>
      <c r="S228" s="307">
        <f t="shared" ca="1" si="108"/>
        <v>6.3899461653638561</v>
      </c>
      <c r="T228" s="304">
        <f t="shared" ca="1" si="88"/>
        <v>62.685371882219428</v>
      </c>
      <c r="U228" s="311">
        <f t="shared" ca="1" si="89"/>
        <v>0</v>
      </c>
      <c r="V228" s="306">
        <f t="shared" ca="1" si="90"/>
        <v>1.1959823138643997</v>
      </c>
      <c r="W228" s="304">
        <f t="shared" ca="1" si="91"/>
        <v>108.96224341963701</v>
      </c>
      <c r="Y228" s="314" t="str">
        <f t="shared" ca="1" si="109"/>
        <v/>
      </c>
      <c r="Z228" s="315" t="str">
        <f t="shared" ca="1" si="110"/>
        <v/>
      </c>
      <c r="AA228" s="316" t="str">
        <f t="shared" ca="1" si="111"/>
        <v/>
      </c>
      <c r="AC228" s="310" t="e">
        <f t="shared" ca="1" si="112"/>
        <v>#N/A</v>
      </c>
      <c r="AD228" s="323" t="e">
        <f t="shared" ca="1" si="113"/>
        <v>#N/A</v>
      </c>
      <c r="AE228" s="324">
        <f t="shared" ca="1" si="92"/>
        <v>239.71828269395419</v>
      </c>
      <c r="AG228" s="306">
        <f t="shared" ca="1" si="114"/>
        <v>59.6295909433262</v>
      </c>
      <c r="AH228" s="304">
        <f t="shared" ca="1" si="115"/>
        <v>69.384514572013245</v>
      </c>
    </row>
    <row r="229" spans="1:34" x14ac:dyDescent="0.2">
      <c r="A229" s="347">
        <f t="shared" ca="1" si="93"/>
        <v>0.01</v>
      </c>
      <c r="B229" s="304">
        <f t="shared" ca="1" si="94"/>
        <v>2.249999999999996</v>
      </c>
      <c r="D229" s="306">
        <f t="shared" ca="1" si="95"/>
        <v>7.3140822873803142</v>
      </c>
      <c r="E229" s="307">
        <f t="shared" ca="1" si="96"/>
        <v>58.888166938999632</v>
      </c>
      <c r="F229" s="304">
        <f t="shared" ca="1" si="97"/>
        <v>59.340643787728318</v>
      </c>
      <c r="G229" s="306">
        <f t="shared" ca="1" si="98"/>
        <v>20.987422975089654</v>
      </c>
      <c r="H229" s="307">
        <f t="shared" ca="1" si="99"/>
        <v>197.02813272639102</v>
      </c>
      <c r="I229" s="304">
        <f t="shared" ca="1" si="100"/>
        <v>198.14276925687619</v>
      </c>
      <c r="J229" s="306">
        <f t="shared" ca="1" si="101"/>
        <v>24.460002584840506</v>
      </c>
      <c r="K229" s="307">
        <f t="shared" ca="1" si="102"/>
        <v>241.68561961287116</v>
      </c>
      <c r="L229" s="304">
        <f t="shared" ca="1" si="87"/>
        <v>242.92021417351802</v>
      </c>
      <c r="M229" s="306">
        <f t="shared" ca="1" si="103"/>
        <v>1.4646765517130731</v>
      </c>
      <c r="N229" s="304">
        <f t="shared" ca="1" si="104"/>
        <v>83.919784764933951</v>
      </c>
      <c r="P229" s="310">
        <f t="shared" ca="1" si="105"/>
        <v>6</v>
      </c>
      <c r="Q229" s="304">
        <f t="shared" ca="1" si="106"/>
        <v>550.23000000000059</v>
      </c>
      <c r="R229" s="306">
        <f t="shared" ca="1" si="107"/>
        <v>0.2761348008375562</v>
      </c>
      <c r="S229" s="307">
        <f t="shared" ca="1" si="108"/>
        <v>6.3871848173554806</v>
      </c>
      <c r="T229" s="304">
        <f t="shared" ca="1" si="88"/>
        <v>62.658283058257268</v>
      </c>
      <c r="U229" s="311">
        <f t="shared" ca="1" si="89"/>
        <v>0</v>
      </c>
      <c r="V229" s="306">
        <f t="shared" ca="1" si="90"/>
        <v>1.1957470129129069</v>
      </c>
      <c r="W229" s="304">
        <f t="shared" ca="1" si="91"/>
        <v>109.59616954544175</v>
      </c>
      <c r="Y229" s="314" t="str">
        <f t="shared" ca="1" si="109"/>
        <v/>
      </c>
      <c r="Z229" s="315" t="str">
        <f t="shared" ca="1" si="110"/>
        <v/>
      </c>
      <c r="AA229" s="316" t="str">
        <f t="shared" ca="1" si="111"/>
        <v/>
      </c>
      <c r="AC229" s="310" t="e">
        <f t="shared" ca="1" si="112"/>
        <v>#N/A</v>
      </c>
      <c r="AD229" s="323" t="e">
        <f t="shared" ca="1" si="113"/>
        <v>#N/A</v>
      </c>
      <c r="AE229" s="324">
        <f t="shared" ca="1" si="92"/>
        <v>241.68561961287116</v>
      </c>
      <c r="AG229" s="306">
        <f t="shared" ca="1" si="114"/>
        <v>59.331554637377174</v>
      </c>
      <c r="AH229" s="304">
        <f t="shared" ca="1" si="115"/>
        <v>69.08642370600198</v>
      </c>
    </row>
    <row r="230" spans="1:34" x14ac:dyDescent="0.2">
      <c r="A230" s="347">
        <f t="shared" ca="1" si="93"/>
        <v>0.01</v>
      </c>
      <c r="B230" s="304">
        <f t="shared" ca="1" si="94"/>
        <v>2.2599999999999958</v>
      </c>
      <c r="D230" s="306">
        <f t="shared" ca="1" si="95"/>
        <v>7.286100484805452</v>
      </c>
      <c r="E230" s="307">
        <f t="shared" ca="1" si="96"/>
        <v>58.591288480342328</v>
      </c>
      <c r="F230" s="304">
        <f t="shared" ca="1" si="97"/>
        <v>59.04258078760936</v>
      </c>
      <c r="G230" s="306">
        <f t="shared" ca="1" si="98"/>
        <v>21.060283979937708</v>
      </c>
      <c r="H230" s="307">
        <f t="shared" ca="1" si="99"/>
        <v>197.61404561119446</v>
      </c>
      <c r="I230" s="304">
        <f t="shared" ca="1" si="100"/>
        <v>198.73310389600132</v>
      </c>
      <c r="J230" s="306">
        <f t="shared" ca="1" si="101"/>
        <v>24.670241119615643</v>
      </c>
      <c r="K230" s="307">
        <f t="shared" ca="1" si="102"/>
        <v>243.65883050455909</v>
      </c>
      <c r="L230" s="304">
        <f t="shared" ca="1" si="87"/>
        <v>244.90456606553792</v>
      </c>
      <c r="M230" s="306">
        <f t="shared" ca="1" si="103"/>
        <v>1.4646242664040923</v>
      </c>
      <c r="N230" s="304">
        <f t="shared" ca="1" si="104"/>
        <v>83.916789037398814</v>
      </c>
      <c r="P230" s="310">
        <f t="shared" ca="1" si="105"/>
        <v>6</v>
      </c>
      <c r="Q230" s="304">
        <f t="shared" ca="1" si="106"/>
        <v>548.77000000000055</v>
      </c>
      <c r="R230" s="306">
        <f t="shared" ca="1" si="107"/>
        <v>0.27540209486146833</v>
      </c>
      <c r="S230" s="307">
        <f t="shared" ca="1" si="108"/>
        <v>6.3844307964068658</v>
      </c>
      <c r="T230" s="304">
        <f t="shared" ca="1" si="88"/>
        <v>62.631266112751355</v>
      </c>
      <c r="U230" s="311">
        <f t="shared" ca="1" si="89"/>
        <v>0</v>
      </c>
      <c r="V230" s="306">
        <f t="shared" ca="1" si="90"/>
        <v>1.1955110553514852</v>
      </c>
      <c r="W230" s="304">
        <f t="shared" ca="1" si="91"/>
        <v>110.22843508821651</v>
      </c>
      <c r="Y230" s="314" t="str">
        <f t="shared" ca="1" si="109"/>
        <v/>
      </c>
      <c r="Z230" s="315" t="str">
        <f t="shared" ca="1" si="110"/>
        <v/>
      </c>
      <c r="AA230" s="316" t="str">
        <f t="shared" ca="1" si="111"/>
        <v/>
      </c>
      <c r="AC230" s="310" t="e">
        <f t="shared" ca="1" si="112"/>
        <v>#N/A</v>
      </c>
      <c r="AD230" s="323" t="e">
        <f t="shared" ca="1" si="113"/>
        <v>#N/A</v>
      </c>
      <c r="AE230" s="324">
        <f t="shared" ca="1" si="92"/>
        <v>243.65883050455909</v>
      </c>
      <c r="AG230" s="306">
        <f t="shared" ca="1" si="114"/>
        <v>59.033436748148439</v>
      </c>
      <c r="AH230" s="304">
        <f t="shared" ca="1" si="115"/>
        <v>68.788251366390284</v>
      </c>
    </row>
    <row r="231" spans="1:34" x14ac:dyDescent="0.2">
      <c r="A231" s="347">
        <f t="shared" ca="1" si="93"/>
        <v>0.01</v>
      </c>
      <c r="B231" s="304">
        <f t="shared" ca="1" si="94"/>
        <v>2.2699999999999956</v>
      </c>
      <c r="D231" s="306">
        <f t="shared" ca="1" si="95"/>
        <v>7.2580706984438654</v>
      </c>
      <c r="E231" s="307">
        <f t="shared" ca="1" si="96"/>
        <v>58.294338736262475</v>
      </c>
      <c r="F231" s="304">
        <f t="shared" ca="1" si="97"/>
        <v>58.744442451705346</v>
      </c>
      <c r="G231" s="306">
        <f t="shared" ca="1" si="98"/>
        <v>21.132864686922147</v>
      </c>
      <c r="H231" s="307">
        <f t="shared" ca="1" si="99"/>
        <v>198.19698899855709</v>
      </c>
      <c r="I231" s="304">
        <f t="shared" ca="1" si="100"/>
        <v>199.32045659683283</v>
      </c>
      <c r="J231" s="306">
        <f t="shared" ca="1" si="101"/>
        <v>24.881206862949941</v>
      </c>
      <c r="K231" s="307">
        <f t="shared" ca="1" si="102"/>
        <v>245.63788567760784</v>
      </c>
      <c r="L231" s="304">
        <f t="shared" ca="1" si="87"/>
        <v>246.89480621333945</v>
      </c>
      <c r="M231" s="306">
        <f t="shared" ca="1" si="103"/>
        <v>1.4645721095796491</v>
      </c>
      <c r="N231" s="304">
        <f t="shared" ca="1" si="104"/>
        <v>83.913800671485419</v>
      </c>
      <c r="P231" s="310">
        <f t="shared" ca="1" si="105"/>
        <v>6</v>
      </c>
      <c r="Q231" s="304">
        <f t="shared" ca="1" si="106"/>
        <v>547.31000000000063</v>
      </c>
      <c r="R231" s="306">
        <f t="shared" ca="1" si="107"/>
        <v>0.27466938888538045</v>
      </c>
      <c r="S231" s="307">
        <f t="shared" ca="1" si="108"/>
        <v>6.3816841025180118</v>
      </c>
      <c r="T231" s="304">
        <f t="shared" ca="1" si="88"/>
        <v>62.604321045701695</v>
      </c>
      <c r="U231" s="311">
        <f t="shared" ca="1" si="89"/>
        <v>0</v>
      </c>
      <c r="V231" s="306">
        <f t="shared" ca="1" si="90"/>
        <v>1.1952744451269735</v>
      </c>
      <c r="W231" s="304">
        <f t="shared" ca="1" si="91"/>
        <v>110.85900982226224</v>
      </c>
      <c r="Y231" s="314" t="str">
        <f t="shared" ca="1" si="109"/>
        <v/>
      </c>
      <c r="Z231" s="315" t="str">
        <f t="shared" ca="1" si="110"/>
        <v/>
      </c>
      <c r="AA231" s="316" t="str">
        <f t="shared" ca="1" si="111"/>
        <v/>
      </c>
      <c r="AC231" s="310" t="e">
        <f t="shared" ca="1" si="112"/>
        <v>#N/A</v>
      </c>
      <c r="AD231" s="323" t="e">
        <f t="shared" ca="1" si="113"/>
        <v>#N/A</v>
      </c>
      <c r="AE231" s="324">
        <f t="shared" ca="1" si="92"/>
        <v>245.63788567760784</v>
      </c>
      <c r="AG231" s="306">
        <f t="shared" ca="1" si="114"/>
        <v>58.735242972234118</v>
      </c>
      <c r="AH231" s="304">
        <f t="shared" ca="1" si="115"/>
        <v>68.490003248409849</v>
      </c>
    </row>
    <row r="232" spans="1:34" x14ac:dyDescent="0.2">
      <c r="A232" s="347">
        <f t="shared" ca="1" si="93"/>
        <v>0.01</v>
      </c>
      <c r="B232" s="304">
        <f t="shared" ca="1" si="94"/>
        <v>2.2799999999999954</v>
      </c>
      <c r="D232" s="306">
        <f t="shared" ca="1" si="95"/>
        <v>7.2299937342670662</v>
      </c>
      <c r="E232" s="307">
        <f t="shared" ca="1" si="96"/>
        <v>57.997323325026514</v>
      </c>
      <c r="F232" s="304">
        <f t="shared" ca="1" si="97"/>
        <v>58.446234457535461</v>
      </c>
      <c r="G232" s="306">
        <f t="shared" ca="1" si="98"/>
        <v>21.205164624264818</v>
      </c>
      <c r="H232" s="307">
        <f t="shared" ca="1" si="99"/>
        <v>198.77696223180735</v>
      </c>
      <c r="I232" s="304">
        <f t="shared" ca="1" si="100"/>
        <v>199.90482665720589</v>
      </c>
      <c r="J232" s="306">
        <f t="shared" ca="1" si="101"/>
        <v>25.092897009505876</v>
      </c>
      <c r="K232" s="307">
        <f t="shared" ca="1" si="102"/>
        <v>247.62275543375966</v>
      </c>
      <c r="L232" s="304">
        <f t="shared" ca="1" si="87"/>
        <v>248.89090479352038</v>
      </c>
      <c r="M232" s="306">
        <f t="shared" ca="1" si="103"/>
        <v>1.464520079771287</v>
      </c>
      <c r="N232" s="304">
        <f t="shared" ca="1" si="104"/>
        <v>83.910819583057389</v>
      </c>
      <c r="P232" s="310">
        <f t="shared" ca="1" si="105"/>
        <v>6</v>
      </c>
      <c r="Q232" s="304">
        <f t="shared" ca="1" si="106"/>
        <v>545.8500000000007</v>
      </c>
      <c r="R232" s="306">
        <f t="shared" ca="1" si="107"/>
        <v>0.27393668290929263</v>
      </c>
      <c r="S232" s="307">
        <f t="shared" ca="1" si="108"/>
        <v>6.3789447356889184</v>
      </c>
      <c r="T232" s="304">
        <f t="shared" ca="1" si="88"/>
        <v>62.577447857108289</v>
      </c>
      <c r="U232" s="311">
        <f t="shared" ca="1" si="89"/>
        <v>0</v>
      </c>
      <c r="V232" s="306">
        <f t="shared" ca="1" si="90"/>
        <v>1.1950371861852325</v>
      </c>
      <c r="W232" s="304">
        <f t="shared" ca="1" si="91"/>
        <v>111.48786376098464</v>
      </c>
      <c r="Y232" s="314" t="str">
        <f t="shared" ca="1" si="109"/>
        <v/>
      </c>
      <c r="Z232" s="315" t="str">
        <f t="shared" ca="1" si="110"/>
        <v/>
      </c>
      <c r="AA232" s="316" t="str">
        <f t="shared" ca="1" si="111"/>
        <v/>
      </c>
      <c r="AC232" s="310" t="e">
        <f t="shared" ca="1" si="112"/>
        <v>#N/A</v>
      </c>
      <c r="AD232" s="323" t="e">
        <f t="shared" ca="1" si="113"/>
        <v>#N/A</v>
      </c>
      <c r="AE232" s="324">
        <f t="shared" ca="1" si="92"/>
        <v>247.62275543375966</v>
      </c>
      <c r="AG232" s="306">
        <f t="shared" ca="1" si="114"/>
        <v>58.436978979179599</v>
      </c>
      <c r="AH232" s="304">
        <f t="shared" ca="1" si="115"/>
        <v>68.191685020259072</v>
      </c>
    </row>
    <row r="233" spans="1:34" x14ac:dyDescent="0.2">
      <c r="A233" s="347">
        <f t="shared" ca="1" si="93"/>
        <v>0.01</v>
      </c>
      <c r="B233" s="304">
        <f t="shared" ca="1" si="94"/>
        <v>2.2899999999999952</v>
      </c>
      <c r="D233" s="306">
        <f t="shared" ca="1" si="95"/>
        <v>7.2018703936062671</v>
      </c>
      <c r="E233" s="307">
        <f t="shared" ca="1" si="96"/>
        <v>57.700247837930988</v>
      </c>
      <c r="F233" s="304">
        <f t="shared" ca="1" si="97"/>
        <v>58.147962455489036</v>
      </c>
      <c r="G233" s="306">
        <f t="shared" ca="1" si="98"/>
        <v>21.277183328200881</v>
      </c>
      <c r="H233" s="307">
        <f t="shared" ca="1" si="99"/>
        <v>199.35396471018666</v>
      </c>
      <c r="I233" s="304">
        <f t="shared" ca="1" si="100"/>
        <v>200.48621343137842</v>
      </c>
      <c r="J233" s="306">
        <f t="shared" ca="1" si="101"/>
        <v>25.305308749268203</v>
      </c>
      <c r="K233" s="307">
        <f t="shared" ca="1" si="102"/>
        <v>249.61341006846965</v>
      </c>
      <c r="L233" s="304">
        <f t="shared" ca="1" si="87"/>
        <v>250.89283197593704</v>
      </c>
      <c r="M233" s="306">
        <f t="shared" ca="1" si="103"/>
        <v>1.4644681755281757</v>
      </c>
      <c r="N233" s="304">
        <f t="shared" ca="1" si="104"/>
        <v>83.907845688988289</v>
      </c>
      <c r="P233" s="310">
        <f t="shared" ca="1" si="105"/>
        <v>6</v>
      </c>
      <c r="Q233" s="304">
        <f t="shared" ca="1" si="106"/>
        <v>544.39000000000067</v>
      </c>
      <c r="R233" s="306">
        <f t="shared" ca="1" si="107"/>
        <v>0.27320397693320475</v>
      </c>
      <c r="S233" s="307">
        <f t="shared" ca="1" si="108"/>
        <v>6.3762126959195866</v>
      </c>
      <c r="T233" s="304">
        <f t="shared" ca="1" si="88"/>
        <v>62.550646546971144</v>
      </c>
      <c r="U233" s="311">
        <f t="shared" ca="1" si="89"/>
        <v>0</v>
      </c>
      <c r="V233" s="306">
        <f t="shared" ca="1" si="90"/>
        <v>1.1947992824710583</v>
      </c>
      <c r="W233" s="304">
        <f t="shared" ca="1" si="91"/>
        <v>112.1149671575423</v>
      </c>
      <c r="Y233" s="314" t="str">
        <f t="shared" ca="1" si="109"/>
        <v/>
      </c>
      <c r="Z233" s="315" t="str">
        <f t="shared" ca="1" si="110"/>
        <v/>
      </c>
      <c r="AA233" s="316" t="str">
        <f t="shared" ca="1" si="111"/>
        <v/>
      </c>
      <c r="AC233" s="310" t="e">
        <f t="shared" ca="1" si="112"/>
        <v>#N/A</v>
      </c>
      <c r="AD233" s="323" t="e">
        <f t="shared" ca="1" si="113"/>
        <v>#N/A</v>
      </c>
      <c r="AE233" s="324">
        <f t="shared" ca="1" si="92"/>
        <v>249.61341006846965</v>
      </c>
      <c r="AG233" s="306">
        <f t="shared" ca="1" si="114"/>
        <v>58.138650411252748</v>
      </c>
      <c r="AH233" s="304">
        <f t="shared" ca="1" si="115"/>
        <v>67.893302322874007</v>
      </c>
    </row>
    <row r="234" spans="1:34" x14ac:dyDescent="0.2">
      <c r="A234" s="347">
        <f t="shared" ca="1" si="93"/>
        <v>0.01</v>
      </c>
      <c r="B234" s="304">
        <f t="shared" ca="1" si="94"/>
        <v>2.2999999999999949</v>
      </c>
      <c r="D234" s="306">
        <f t="shared" ca="1" si="95"/>
        <v>7.1737014731612039</v>
      </c>
      <c r="E234" s="307">
        <f t="shared" ca="1" si="96"/>
        <v>57.403117839076231</v>
      </c>
      <c r="F234" s="304">
        <f t="shared" ca="1" si="97"/>
        <v>57.849632068604436</v>
      </c>
      <c r="G234" s="306">
        <f t="shared" ca="1" si="98"/>
        <v>21.348920342932491</v>
      </c>
      <c r="H234" s="307">
        <f t="shared" ca="1" si="99"/>
        <v>199.92799588857741</v>
      </c>
      <c r="I234" s="304">
        <f t="shared" ca="1" si="100"/>
        <v>201.06461632975581</v>
      </c>
      <c r="J234" s="306">
        <f t="shared" ca="1" si="101"/>
        <v>25.518439267623869</v>
      </c>
      <c r="K234" s="307">
        <f t="shared" ca="1" si="102"/>
        <v>251.60981987146346</v>
      </c>
      <c r="L234" s="304">
        <f t="shared" ca="1" si="87"/>
        <v>252.90055792426733</v>
      </c>
      <c r="M234" s="306">
        <f t="shared" ca="1" si="103"/>
        <v>1.464416395416803</v>
      </c>
      <c r="N234" s="304">
        <f t="shared" ca="1" si="104"/>
        <v>83.904878907143924</v>
      </c>
      <c r="P234" s="310">
        <f t="shared" ca="1" si="105"/>
        <v>6</v>
      </c>
      <c r="Q234" s="304">
        <f t="shared" ca="1" si="106"/>
        <v>542.93000000000075</v>
      </c>
      <c r="R234" s="306">
        <f t="shared" ca="1" si="107"/>
        <v>0.27247127095711693</v>
      </c>
      <c r="S234" s="307">
        <f t="shared" ca="1" si="108"/>
        <v>6.3734879832100155</v>
      </c>
      <c r="T234" s="304">
        <f t="shared" ca="1" si="88"/>
        <v>62.523917115290253</v>
      </c>
      <c r="U234" s="311">
        <f t="shared" ca="1" si="89"/>
        <v>0</v>
      </c>
      <c r="V234" s="306">
        <f t="shared" ca="1" si="90"/>
        <v>1.1945607379280925</v>
      </c>
      <c r="W234" s="304">
        <f t="shared" ca="1" si="91"/>
        <v>112.74029050546731</v>
      </c>
      <c r="Y234" s="314" t="str">
        <f t="shared" ca="1" si="109"/>
        <v/>
      </c>
      <c r="Z234" s="315" t="str">
        <f t="shared" ca="1" si="110"/>
        <v/>
      </c>
      <c r="AA234" s="316" t="str">
        <f t="shared" ca="1" si="111"/>
        <v/>
      </c>
      <c r="AC234" s="310" t="e">
        <f t="shared" ca="1" si="112"/>
        <v>#N/A</v>
      </c>
      <c r="AD234" s="323" t="e">
        <f t="shared" ca="1" si="113"/>
        <v>#N/A</v>
      </c>
      <c r="AE234" s="324">
        <f t="shared" ca="1" si="92"/>
        <v>251.60981987146346</v>
      </c>
      <c r="AG234" s="306">
        <f t="shared" ca="1" si="114"/>
        <v>57.840262883219225</v>
      </c>
      <c r="AH234" s="304">
        <f t="shared" ca="1" si="115"/>
        <v>67.594860769703359</v>
      </c>
    </row>
    <row r="235" spans="1:34" x14ac:dyDescent="0.2">
      <c r="A235" s="347">
        <f t="shared" ca="1" si="93"/>
        <v>0.01</v>
      </c>
      <c r="B235" s="304">
        <f t="shared" ca="1" si="94"/>
        <v>2.3099999999999947</v>
      </c>
      <c r="D235" s="306">
        <f t="shared" ca="1" si="95"/>
        <v>7.1454877650084745</v>
      </c>
      <c r="E235" s="307">
        <f t="shared" ca="1" si="96"/>
        <v>57.105938865143742</v>
      </c>
      <c r="F235" s="304">
        <f t="shared" ca="1" si="97"/>
        <v>57.551248892351765</v>
      </c>
      <c r="G235" s="306">
        <f t="shared" ca="1" si="98"/>
        <v>21.420375220582574</v>
      </c>
      <c r="H235" s="307">
        <f t="shared" ca="1" si="99"/>
        <v>200.49905527722885</v>
      </c>
      <c r="I235" s="304">
        <f t="shared" ca="1" si="100"/>
        <v>201.64003481861388</v>
      </c>
      <c r="J235" s="306">
        <f t="shared" ca="1" si="101"/>
        <v>25.732285745441445</v>
      </c>
      <c r="K235" s="307">
        <f t="shared" ca="1" si="102"/>
        <v>253.61195512729248</v>
      </c>
      <c r="L235" s="304">
        <f t="shared" ca="1" si="87"/>
        <v>254.91405279657076</v>
      </c>
      <c r="M235" s="306">
        <f t="shared" ca="1" si="103"/>
        <v>1.464364738020673</v>
      </c>
      <c r="N235" s="304">
        <f t="shared" ca="1" si="104"/>
        <v>83.901919156365039</v>
      </c>
      <c r="P235" s="310">
        <f t="shared" ca="1" si="105"/>
        <v>6</v>
      </c>
      <c r="Q235" s="304">
        <f t="shared" ca="1" si="106"/>
        <v>541.47000000000071</v>
      </c>
      <c r="R235" s="306">
        <f t="shared" ca="1" si="107"/>
        <v>0.271738564981029</v>
      </c>
      <c r="S235" s="307">
        <f t="shared" ca="1" si="108"/>
        <v>6.3707705975602051</v>
      </c>
      <c r="T235" s="304">
        <f t="shared" ca="1" si="88"/>
        <v>62.497259562065615</v>
      </c>
      <c r="U235" s="311">
        <f t="shared" ca="1" si="89"/>
        <v>0</v>
      </c>
      <c r="V235" s="306">
        <f t="shared" ca="1" si="90"/>
        <v>1.1943215564987375</v>
      </c>
      <c r="W235" s="304">
        <f t="shared" ca="1" si="91"/>
        <v>113.36380453926006</v>
      </c>
      <c r="Y235" s="314" t="str">
        <f t="shared" ca="1" si="109"/>
        <v/>
      </c>
      <c r="Z235" s="315" t="str">
        <f t="shared" ca="1" si="110"/>
        <v/>
      </c>
      <c r="AA235" s="316" t="str">
        <f t="shared" ca="1" si="111"/>
        <v/>
      </c>
      <c r="AC235" s="310" t="e">
        <f t="shared" ca="1" si="112"/>
        <v>#N/A</v>
      </c>
      <c r="AD235" s="323" t="e">
        <f t="shared" ca="1" si="113"/>
        <v>#N/A</v>
      </c>
      <c r="AE235" s="324">
        <f t="shared" ca="1" si="92"/>
        <v>253.61195512729248</v>
      </c>
      <c r="AG235" s="306">
        <f t="shared" ca="1" si="114"/>
        <v>57.54182198212154</v>
      </c>
      <c r="AH235" s="304">
        <f t="shared" ca="1" si="115"/>
        <v>67.296365946487342</v>
      </c>
    </row>
    <row r="236" spans="1:34" x14ac:dyDescent="0.2">
      <c r="A236" s="347">
        <f t="shared" ca="1" si="93"/>
        <v>0.01</v>
      </c>
      <c r="B236" s="304">
        <f t="shared" ca="1" si="94"/>
        <v>2.3199999999999945</v>
      </c>
      <c r="D236" s="306">
        <f t="shared" ca="1" si="95"/>
        <v>7.1172300566095199</v>
      </c>
      <c r="E236" s="307">
        <f t="shared" ca="1" si="96"/>
        <v>56.808716425178304</v>
      </c>
      <c r="F236" s="304">
        <f t="shared" ca="1" si="97"/>
        <v>57.252818494420247</v>
      </c>
      <c r="G236" s="306">
        <f t="shared" ca="1" si="98"/>
        <v>21.491547521148668</v>
      </c>
      <c r="H236" s="307">
        <f t="shared" ca="1" si="99"/>
        <v>201.06714244148063</v>
      </c>
      <c r="I236" s="304">
        <f t="shared" ca="1" si="100"/>
        <v>202.21246841981937</v>
      </c>
      <c r="J236" s="306">
        <f t="shared" ca="1" si="101"/>
        <v>25.9468453591501</v>
      </c>
      <c r="K236" s="307">
        <f t="shared" ca="1" si="102"/>
        <v>255.61978611588603</v>
      </c>
      <c r="L236" s="304">
        <f t="shared" ca="1" si="87"/>
        <v>256.93328674584569</v>
      </c>
      <c r="M236" s="306">
        <f t="shared" ca="1" si="103"/>
        <v>1.4643132019400089</v>
      </c>
      <c r="N236" s="304">
        <f t="shared" ca="1" si="104"/>
        <v>83.898966356450345</v>
      </c>
      <c r="P236" s="310">
        <f t="shared" ca="1" si="105"/>
        <v>6</v>
      </c>
      <c r="Q236" s="304">
        <f t="shared" ca="1" si="106"/>
        <v>540.01000000000079</v>
      </c>
      <c r="R236" s="306">
        <f t="shared" ca="1" si="107"/>
        <v>0.27100585900494117</v>
      </c>
      <c r="S236" s="307">
        <f t="shared" ca="1" si="108"/>
        <v>6.3680605389701554</v>
      </c>
      <c r="T236" s="304">
        <f t="shared" ca="1" si="88"/>
        <v>62.470673887297231</v>
      </c>
      <c r="U236" s="311">
        <f t="shared" ca="1" si="89"/>
        <v>0</v>
      </c>
      <c r="V236" s="306">
        <f t="shared" ca="1" si="90"/>
        <v>1.1940817421240699</v>
      </c>
      <c r="W236" s="304">
        <f t="shared" ca="1" si="91"/>
        <v>113.98548023495722</v>
      </c>
      <c r="Y236" s="314" t="str">
        <f t="shared" ca="1" si="109"/>
        <v/>
      </c>
      <c r="Z236" s="315" t="str">
        <f t="shared" ca="1" si="110"/>
        <v/>
      </c>
      <c r="AA236" s="316" t="str">
        <f t="shared" ca="1" si="111"/>
        <v/>
      </c>
      <c r="AC236" s="310" t="e">
        <f t="shared" ca="1" si="112"/>
        <v>#N/A</v>
      </c>
      <c r="AD236" s="323" t="e">
        <f t="shared" ca="1" si="113"/>
        <v>#N/A</v>
      </c>
      <c r="AE236" s="324">
        <f t="shared" ca="1" si="92"/>
        <v>255.61978611588603</v>
      </c>
      <c r="AG236" s="306">
        <f t="shared" ca="1" si="114"/>
        <v>57.243333267062631</v>
      </c>
      <c r="AH236" s="304">
        <f t="shared" ca="1" si="115"/>
        <v>66.997823411040955</v>
      </c>
    </row>
    <row r="237" spans="1:34" x14ac:dyDescent="0.2">
      <c r="A237" s="347">
        <f t="shared" ca="1" si="93"/>
        <v>0.01</v>
      </c>
      <c r="B237" s="304">
        <f t="shared" ca="1" si="94"/>
        <v>2.3299999999999943</v>
      </c>
      <c r="D237" s="306">
        <f t="shared" ca="1" si="95"/>
        <v>7.0889291308182685</v>
      </c>
      <c r="E237" s="307">
        <f t="shared" ca="1" si="96"/>
        <v>56.511456000373585</v>
      </c>
      <c r="F237" s="304">
        <f t="shared" ca="1" si="97"/>
        <v>56.954346414509253</v>
      </c>
      <c r="G237" s="306">
        <f t="shared" ca="1" si="98"/>
        <v>21.562436812456852</v>
      </c>
      <c r="H237" s="307">
        <f t="shared" ca="1" si="99"/>
        <v>201.63225700148436</v>
      </c>
      <c r="I237" s="304">
        <f t="shared" ca="1" si="100"/>
        <v>202.78191671054853</v>
      </c>
      <c r="J237" s="306">
        <f t="shared" ca="1" si="101"/>
        <v>26.162115280818128</v>
      </c>
      <c r="K237" s="307">
        <f t="shared" ca="1" si="102"/>
        <v>257.63328311310084</v>
      </c>
      <c r="L237" s="304">
        <f t="shared" ca="1" si="87"/>
        <v>258.9582299205839</v>
      </c>
      <c r="M237" s="306">
        <f t="shared" ca="1" si="103"/>
        <v>1.4642617857914637</v>
      </c>
      <c r="N237" s="304">
        <f t="shared" ca="1" si="104"/>
        <v>83.896020428139877</v>
      </c>
      <c r="P237" s="310">
        <f t="shared" ca="1" si="105"/>
        <v>6</v>
      </c>
      <c r="Q237" s="304">
        <f t="shared" ca="1" si="106"/>
        <v>538.55000000000086</v>
      </c>
      <c r="R237" s="306">
        <f t="shared" ca="1" si="107"/>
        <v>0.27027315302885335</v>
      </c>
      <c r="S237" s="307">
        <f t="shared" ca="1" si="108"/>
        <v>6.3653578074398673</v>
      </c>
      <c r="T237" s="304">
        <f t="shared" ca="1" si="88"/>
        <v>62.4441600909851</v>
      </c>
      <c r="U237" s="311">
        <f t="shared" ca="1" si="89"/>
        <v>0</v>
      </c>
      <c r="V237" s="306">
        <f t="shared" ca="1" si="90"/>
        <v>1.1938412987437546</v>
      </c>
      <c r="W237" s="304">
        <f t="shared" ca="1" si="91"/>
        <v>114.60528881067387</v>
      </c>
      <c r="Y237" s="314" t="str">
        <f t="shared" ca="1" si="109"/>
        <v/>
      </c>
      <c r="Z237" s="315" t="str">
        <f t="shared" ca="1" si="110"/>
        <v/>
      </c>
      <c r="AA237" s="316" t="str">
        <f t="shared" ca="1" si="111"/>
        <v/>
      </c>
      <c r="AC237" s="310" t="e">
        <f t="shared" ca="1" si="112"/>
        <v>#N/A</v>
      </c>
      <c r="AD237" s="323" t="e">
        <f t="shared" ca="1" si="113"/>
        <v>#N/A</v>
      </c>
      <c r="AE237" s="324">
        <f t="shared" ca="1" si="92"/>
        <v>257.63328311310084</v>
      </c>
      <c r="AG237" s="306">
        <f t="shared" ca="1" si="114"/>
        <v>56.944802268993051</v>
      </c>
      <c r="AH237" s="304">
        <f t="shared" ca="1" si="115"/>
        <v>66.699238693040968</v>
      </c>
    </row>
    <row r="238" spans="1:34" x14ac:dyDescent="0.2">
      <c r="A238" s="347">
        <f t="shared" ca="1" si="93"/>
        <v>0.01</v>
      </c>
      <c r="B238" s="304">
        <f t="shared" ca="1" si="94"/>
        <v>2.3399999999999941</v>
      </c>
      <c r="D238" s="306">
        <f t="shared" ca="1" si="95"/>
        <v>7.0605857658883968</v>
      </c>
      <c r="E238" s="307">
        <f t="shared" ca="1" si="96"/>
        <v>56.214163043862357</v>
      </c>
      <c r="F238" s="304">
        <f t="shared" ca="1" si="97"/>
        <v>56.655838164123971</v>
      </c>
      <c r="G238" s="306">
        <f t="shared" ca="1" si="98"/>
        <v>21.633042670115735</v>
      </c>
      <c r="H238" s="307">
        <f t="shared" ca="1" si="99"/>
        <v>202.19439863192298</v>
      </c>
      <c r="I238" s="304">
        <f t="shared" ca="1" si="100"/>
        <v>203.34837932300329</v>
      </c>
      <c r="J238" s="306">
        <f t="shared" ca="1" si="101"/>
        <v>26.378092678230992</v>
      </c>
      <c r="K238" s="307">
        <f t="shared" ca="1" si="102"/>
        <v>259.65241639126788</v>
      </c>
      <c r="L238" s="304">
        <f t="shared" ca="1" si="87"/>
        <v>260.98885246532211</v>
      </c>
      <c r="M238" s="306">
        <f t="shared" ca="1" si="103"/>
        <v>1.4642104882078375</v>
      </c>
      <c r="N238" s="304">
        <f t="shared" ca="1" si="104"/>
        <v>83.893081293098888</v>
      </c>
      <c r="P238" s="310">
        <f t="shared" ca="1" si="105"/>
        <v>6</v>
      </c>
      <c r="Q238" s="304">
        <f t="shared" ca="1" si="106"/>
        <v>537.09000000000083</v>
      </c>
      <c r="R238" s="306">
        <f t="shared" ca="1" si="107"/>
        <v>0.26954044705276542</v>
      </c>
      <c r="S238" s="307">
        <f t="shared" ca="1" si="108"/>
        <v>6.3626624029693399</v>
      </c>
      <c r="T238" s="304">
        <f t="shared" ca="1" si="88"/>
        <v>62.417718173129231</v>
      </c>
      <c r="U238" s="311">
        <f t="shared" ca="1" si="89"/>
        <v>0</v>
      </c>
      <c r="V238" s="306">
        <f t="shared" ca="1" si="90"/>
        <v>1.1936002302959587</v>
      </c>
      <c r="W238" s="304">
        <f t="shared" ca="1" si="91"/>
        <v>115.22320172711878</v>
      </c>
      <c r="Y238" s="314" t="str">
        <f t="shared" ca="1" si="109"/>
        <v/>
      </c>
      <c r="Z238" s="315" t="str">
        <f t="shared" ca="1" si="110"/>
        <v/>
      </c>
      <c r="AA238" s="316" t="str">
        <f t="shared" ca="1" si="111"/>
        <v/>
      </c>
      <c r="AC238" s="310" t="e">
        <f t="shared" ca="1" si="112"/>
        <v>#N/A</v>
      </c>
      <c r="AD238" s="323" t="e">
        <f t="shared" ca="1" si="113"/>
        <v>#N/A</v>
      </c>
      <c r="AE238" s="324">
        <f t="shared" ca="1" si="92"/>
        <v>259.65241639126788</v>
      </c>
      <c r="AG238" s="306">
        <f t="shared" ca="1" si="114"/>
        <v>56.646234490502607</v>
      </c>
      <c r="AH238" s="304">
        <f t="shared" ca="1" si="115"/>
        <v>66.400617293817277</v>
      </c>
    </row>
    <row r="239" spans="1:34" x14ac:dyDescent="0.2">
      <c r="A239" s="347">
        <f t="shared" ca="1" si="93"/>
        <v>0.01</v>
      </c>
      <c r="B239" s="304">
        <f t="shared" ca="1" si="94"/>
        <v>2.3499999999999939</v>
      </c>
      <c r="D239" s="306">
        <f t="shared" ca="1" si="95"/>
        <v>7.0322007354801954</v>
      </c>
      <c r="E239" s="307">
        <f t="shared" ca="1" si="96"/>
        <v>55.916842980510623</v>
      </c>
      <c r="F239" s="304">
        <f t="shared" ca="1" si="97"/>
        <v>56.357299226375005</v>
      </c>
      <c r="G239" s="306">
        <f t="shared" ca="1" si="98"/>
        <v>21.703364677470535</v>
      </c>
      <c r="H239" s="307">
        <f t="shared" ca="1" si="99"/>
        <v>202.75356706172809</v>
      </c>
      <c r="I239" s="304">
        <f t="shared" ca="1" si="100"/>
        <v>203.91185594412588</v>
      </c>
      <c r="J239" s="306">
        <f t="shared" ca="1" si="101"/>
        <v>26.594774714968924</v>
      </c>
      <c r="K239" s="307">
        <f t="shared" ca="1" si="102"/>
        <v>261.6771562197361</v>
      </c>
      <c r="L239" s="304">
        <f t="shared" ca="1" si="87"/>
        <v>263.02512452119117</v>
      </c>
      <c r="M239" s="306">
        <f t="shared" ca="1" si="103"/>
        <v>1.464159307837799</v>
      </c>
      <c r="N239" s="304">
        <f t="shared" ca="1" si="104"/>
        <v>83.890148873901765</v>
      </c>
      <c r="P239" s="310">
        <f t="shared" ca="1" si="105"/>
        <v>6</v>
      </c>
      <c r="Q239" s="304">
        <f t="shared" ca="1" si="106"/>
        <v>535.6300000000009</v>
      </c>
      <c r="R239" s="306">
        <f t="shared" ca="1" si="107"/>
        <v>0.2688077410766776</v>
      </c>
      <c r="S239" s="307">
        <f t="shared" ca="1" si="108"/>
        <v>6.3599743255585732</v>
      </c>
      <c r="T239" s="304">
        <f t="shared" ca="1" si="88"/>
        <v>62.391348133729608</v>
      </c>
      <c r="U239" s="311">
        <f t="shared" ca="1" si="89"/>
        <v>0</v>
      </c>
      <c r="V239" s="306">
        <f t="shared" ca="1" si="90"/>
        <v>1.1933585407172698</v>
      </c>
      <c r="W239" s="304">
        <f t="shared" ca="1" si="91"/>
        <v>115.83919068808494</v>
      </c>
      <c r="Y239" s="314" t="str">
        <f t="shared" ca="1" si="109"/>
        <v/>
      </c>
      <c r="Z239" s="315" t="str">
        <f t="shared" ca="1" si="110"/>
        <v/>
      </c>
      <c r="AA239" s="316" t="str">
        <f t="shared" ca="1" si="111"/>
        <v/>
      </c>
      <c r="AC239" s="310" t="e">
        <f t="shared" ca="1" si="112"/>
        <v>#N/A</v>
      </c>
      <c r="AD239" s="323" t="e">
        <f t="shared" ca="1" si="113"/>
        <v>#N/A</v>
      </c>
      <c r="AE239" s="324">
        <f t="shared" ca="1" si="92"/>
        <v>261.6771562197361</v>
      </c>
      <c r="AG239" s="306">
        <f t="shared" ca="1" si="114"/>
        <v>56.347635405615897</v>
      </c>
      <c r="AH239" s="304">
        <f t="shared" ca="1" si="115"/>
        <v>66.101964686148222</v>
      </c>
    </row>
    <row r="240" spans="1:34" x14ac:dyDescent="0.2">
      <c r="A240" s="347">
        <f t="shared" ca="1" si="93"/>
        <v>0.01</v>
      </c>
      <c r="B240" s="304">
        <f t="shared" ca="1" si="94"/>
        <v>2.3599999999999937</v>
      </c>
      <c r="D240" s="306">
        <f t="shared" ca="1" si="95"/>
        <v>7.0037748086671954</v>
      </c>
      <c r="E240" s="307">
        <f t="shared" ca="1" si="96"/>
        <v>55.619501206715597</v>
      </c>
      <c r="F240" s="304">
        <f t="shared" ca="1" si="97"/>
        <v>56.05873505578198</v>
      </c>
      <c r="G240" s="306">
        <f t="shared" ca="1" si="98"/>
        <v>21.773402425557208</v>
      </c>
      <c r="H240" s="307">
        <f t="shared" ca="1" si="99"/>
        <v>203.30976207379524</v>
      </c>
      <c r="I240" s="304">
        <f t="shared" ca="1" si="100"/>
        <v>204.47234631531103</v>
      </c>
      <c r="J240" s="306">
        <f t="shared" ca="1" si="101"/>
        <v>26.812158550484064</v>
      </c>
      <c r="K240" s="307">
        <f t="shared" ca="1" si="102"/>
        <v>263.70747286541371</v>
      </c>
      <c r="L240" s="304">
        <f t="shared" ca="1" si="87"/>
        <v>265.06701622646148</v>
      </c>
      <c r="M240" s="306">
        <f t="shared" ca="1" si="103"/>
        <v>1.4641082433456132</v>
      </c>
      <c r="N240" s="304">
        <f t="shared" ca="1" si="104"/>
        <v>83.887223094016534</v>
      </c>
      <c r="P240" s="310">
        <f t="shared" ca="1" si="105"/>
        <v>6</v>
      </c>
      <c r="Q240" s="304">
        <f t="shared" ca="1" si="106"/>
        <v>534.17000000000087</v>
      </c>
      <c r="R240" s="306">
        <f t="shared" ca="1" si="107"/>
        <v>0.26807503510058972</v>
      </c>
      <c r="S240" s="307">
        <f t="shared" ca="1" si="108"/>
        <v>6.3572935752075672</v>
      </c>
      <c r="T240" s="304">
        <f t="shared" ca="1" si="88"/>
        <v>62.365049972786238</v>
      </c>
      <c r="U240" s="311">
        <f t="shared" ca="1" si="89"/>
        <v>0</v>
      </c>
      <c r="V240" s="306">
        <f t="shared" ca="1" si="90"/>
        <v>1.1931162339426082</v>
      </c>
      <c r="W240" s="304">
        <f t="shared" ca="1" si="91"/>
        <v>116.45322764091323</v>
      </c>
      <c r="Y240" s="314" t="str">
        <f t="shared" ca="1" si="109"/>
        <v/>
      </c>
      <c r="Z240" s="315" t="str">
        <f t="shared" ca="1" si="110"/>
        <v/>
      </c>
      <c r="AA240" s="316" t="str">
        <f t="shared" ca="1" si="111"/>
        <v/>
      </c>
      <c r="AC240" s="310" t="e">
        <f t="shared" ca="1" si="112"/>
        <v>#N/A</v>
      </c>
      <c r="AD240" s="323" t="e">
        <f t="shared" ca="1" si="113"/>
        <v>#N/A</v>
      </c>
      <c r="AE240" s="324">
        <f t="shared" ca="1" si="92"/>
        <v>263.70747286541371</v>
      </c>
      <c r="AG240" s="306">
        <f t="shared" ca="1" si="114"/>
        <v>56.049010459591678</v>
      </c>
      <c r="AH240" s="304">
        <f t="shared" ca="1" si="115"/>
        <v>65.803286314059719</v>
      </c>
    </row>
    <row r="241" spans="1:34" x14ac:dyDescent="0.2">
      <c r="A241" s="347">
        <f t="shared" ca="1" si="93"/>
        <v>0.01</v>
      </c>
      <c r="B241" s="304">
        <f t="shared" ca="1" si="94"/>
        <v>2.3699999999999934</v>
      </c>
      <c r="D241" s="306">
        <f t="shared" ca="1" si="95"/>
        <v>6.9753087499425455</v>
      </c>
      <c r="E241" s="307">
        <f t="shared" ca="1" si="96"/>
        <v>55.322143090208314</v>
      </c>
      <c r="F241" s="304">
        <f t="shared" ca="1" si="97"/>
        <v>55.760151078081819</v>
      </c>
      <c r="G241" s="306">
        <f t="shared" ca="1" si="98"/>
        <v>21.843155513056633</v>
      </c>
      <c r="H241" s="307">
        <f t="shared" ca="1" si="99"/>
        <v>203.86298350469733</v>
      </c>
      <c r="I241" s="304">
        <f t="shared" ca="1" si="100"/>
        <v>205.02985023211636</v>
      </c>
      <c r="J241" s="306">
        <f t="shared" ca="1" si="101"/>
        <v>27.030241340177135</v>
      </c>
      <c r="K241" s="307">
        <f t="shared" ca="1" si="102"/>
        <v>265.7433365933062</v>
      </c>
      <c r="L241" s="304">
        <f t="shared" ca="1" si="87"/>
        <v>267.11449771708658</v>
      </c>
      <c r="M241" s="306">
        <f t="shared" ca="1" si="103"/>
        <v>1.4640572934108764</v>
      </c>
      <c r="N241" s="304">
        <f t="shared" ca="1" si="104"/>
        <v>83.884303877789648</v>
      </c>
      <c r="P241" s="310">
        <f t="shared" ca="1" si="105"/>
        <v>6</v>
      </c>
      <c r="Q241" s="304">
        <f t="shared" ca="1" si="106"/>
        <v>532.71000000000095</v>
      </c>
      <c r="R241" s="306">
        <f t="shared" ca="1" si="107"/>
        <v>0.2673423291245019</v>
      </c>
      <c r="S241" s="307">
        <f t="shared" ca="1" si="108"/>
        <v>6.3546201519163219</v>
      </c>
      <c r="T241" s="304">
        <f t="shared" ca="1" si="88"/>
        <v>62.338823690299122</v>
      </c>
      <c r="U241" s="311">
        <f t="shared" ca="1" si="89"/>
        <v>0</v>
      </c>
      <c r="V241" s="306">
        <f t="shared" ca="1" si="90"/>
        <v>1.1928733139051466</v>
      </c>
      <c r="W241" s="304">
        <f t="shared" ca="1" si="91"/>
        <v>117.06528477693068</v>
      </c>
      <c r="Y241" s="314" t="str">
        <f t="shared" ca="1" si="109"/>
        <v/>
      </c>
      <c r="Z241" s="315" t="str">
        <f t="shared" ca="1" si="110"/>
        <v/>
      </c>
      <c r="AA241" s="316" t="str">
        <f t="shared" ca="1" si="111"/>
        <v/>
      </c>
      <c r="AC241" s="310" t="e">
        <f t="shared" ca="1" si="112"/>
        <v>#N/A</v>
      </c>
      <c r="AD241" s="323" t="e">
        <f t="shared" ca="1" si="113"/>
        <v>#N/A</v>
      </c>
      <c r="AE241" s="324">
        <f t="shared" ca="1" si="92"/>
        <v>265.7433365933062</v>
      </c>
      <c r="AG241" s="306">
        <f t="shared" ca="1" si="114"/>
        <v>55.750365068726765</v>
      </c>
      <c r="AH241" s="304">
        <f t="shared" ca="1" si="115"/>
        <v>65.504587592628937</v>
      </c>
    </row>
    <row r="242" spans="1:34" x14ac:dyDescent="0.2">
      <c r="A242" s="347">
        <f t="shared" ca="1" si="93"/>
        <v>0.01</v>
      </c>
      <c r="B242" s="304">
        <f t="shared" ca="1" si="94"/>
        <v>2.3799999999999932</v>
      </c>
      <c r="D242" s="306">
        <f t="shared" ca="1" si="95"/>
        <v>6.9468033192249035</v>
      </c>
      <c r="E242" s="307">
        <f t="shared" ca="1" si="96"/>
        <v>55.02477396985978</v>
      </c>
      <c r="F242" s="304">
        <f t="shared" ca="1" si="97"/>
        <v>55.461552690040627</v>
      </c>
      <c r="G242" s="306">
        <f t="shared" ca="1" si="98"/>
        <v>21.912623546248881</v>
      </c>
      <c r="H242" s="307">
        <f t="shared" ca="1" si="99"/>
        <v>204.41323124439592</v>
      </c>
      <c r="I242" s="304">
        <f t="shared" ca="1" si="100"/>
        <v>205.58436754397087</v>
      </c>
      <c r="J242" s="306">
        <f t="shared" ca="1" si="101"/>
        <v>27.249020235473662</v>
      </c>
      <c r="K242" s="307">
        <f t="shared" ca="1" si="102"/>
        <v>267.78471766705167</v>
      </c>
      <c r="L242" s="304">
        <f t="shared" ca="1" si="87"/>
        <v>269.16753912724289</v>
      </c>
      <c r="M242" s="306">
        <f t="shared" ca="1" si="103"/>
        <v>1.4640064567282545</v>
      </c>
      <c r="N242" s="304">
        <f t="shared" ca="1" si="104"/>
        <v>83.881391150430971</v>
      </c>
      <c r="P242" s="310">
        <f t="shared" ca="1" si="105"/>
        <v>6</v>
      </c>
      <c r="Q242" s="304">
        <f t="shared" ca="1" si="106"/>
        <v>531.25000000000102</v>
      </c>
      <c r="R242" s="306">
        <f t="shared" ca="1" si="107"/>
        <v>0.26660962314841402</v>
      </c>
      <c r="S242" s="307">
        <f t="shared" ca="1" si="108"/>
        <v>6.3519540556848382</v>
      </c>
      <c r="T242" s="304">
        <f t="shared" ca="1" si="88"/>
        <v>62.312669286268267</v>
      </c>
      <c r="U242" s="311">
        <f t="shared" ca="1" si="89"/>
        <v>0</v>
      </c>
      <c r="V242" s="306">
        <f t="shared" ca="1" si="90"/>
        <v>1.1926297845362257</v>
      </c>
      <c r="W242" s="304">
        <f t="shared" ca="1" si="91"/>
        <v>117.67533453186381</v>
      </c>
      <c r="Y242" s="314" t="str">
        <f t="shared" ca="1" si="109"/>
        <v/>
      </c>
      <c r="Z242" s="315" t="str">
        <f t="shared" ca="1" si="110"/>
        <v/>
      </c>
      <c r="AA242" s="316" t="str">
        <f t="shared" ca="1" si="111"/>
        <v/>
      </c>
      <c r="AC242" s="310" t="e">
        <f t="shared" ca="1" si="112"/>
        <v>#N/A</v>
      </c>
      <c r="AD242" s="323" t="e">
        <f t="shared" ca="1" si="113"/>
        <v>#N/A</v>
      </c>
      <c r="AE242" s="324">
        <f t="shared" ca="1" si="92"/>
        <v>267.78471766705167</v>
      </c>
      <c r="AG242" s="306">
        <f t="shared" ca="1" si="114"/>
        <v>55.451704620163468</v>
      </c>
      <c r="AH242" s="304">
        <f t="shared" ca="1" si="115"/>
        <v>65.205873907791485</v>
      </c>
    </row>
    <row r="243" spans="1:34" x14ac:dyDescent="0.2">
      <c r="A243" s="347">
        <f t="shared" ca="1" si="93"/>
        <v>0.01</v>
      </c>
      <c r="B243" s="304">
        <f t="shared" ca="1" si="94"/>
        <v>2.389999999999993</v>
      </c>
      <c r="D243" s="306">
        <f t="shared" ca="1" si="95"/>
        <v>6.9182592718643168</v>
      </c>
      <c r="E243" s="307">
        <f t="shared" ca="1" si="96"/>
        <v>54.727399155491511</v>
      </c>
      <c r="F243" s="304">
        <f t="shared" ca="1" si="97"/>
        <v>55.162945259270096</v>
      </c>
      <c r="G243" s="306">
        <f t="shared" ca="1" si="98"/>
        <v>21.981806138967524</v>
      </c>
      <c r="H243" s="307">
        <f t="shared" ca="1" si="99"/>
        <v>204.96050523595082</v>
      </c>
      <c r="I243" s="304">
        <f t="shared" ca="1" si="100"/>
        <v>206.13589815388141</v>
      </c>
      <c r="J243" s="306">
        <f t="shared" ca="1" si="101"/>
        <v>27.468492383899743</v>
      </c>
      <c r="K243" s="307">
        <f t="shared" ca="1" si="102"/>
        <v>269.8315863494534</v>
      </c>
      <c r="L243" s="304">
        <f t="shared" ca="1" si="87"/>
        <v>271.22611058986723</v>
      </c>
      <c r="M243" s="306">
        <f t="shared" ca="1" si="103"/>
        <v>1.4639557320072281</v>
      </c>
      <c r="N243" s="304">
        <f t="shared" ca="1" si="104"/>
        <v>83.878484837999167</v>
      </c>
      <c r="P243" s="310">
        <f t="shared" ca="1" si="105"/>
        <v>6</v>
      </c>
      <c r="Q243" s="304">
        <f t="shared" ca="1" si="106"/>
        <v>529.79000000000099</v>
      </c>
      <c r="R243" s="306">
        <f t="shared" ca="1" si="107"/>
        <v>0.26587691717232614</v>
      </c>
      <c r="S243" s="307">
        <f t="shared" ca="1" si="108"/>
        <v>6.3492952865131151</v>
      </c>
      <c r="T243" s="304">
        <f t="shared" ca="1" si="88"/>
        <v>62.286586760693666</v>
      </c>
      <c r="U243" s="311">
        <f t="shared" ca="1" si="89"/>
        <v>0</v>
      </c>
      <c r="V243" s="306">
        <f t="shared" ca="1" si="90"/>
        <v>1.1923856497652716</v>
      </c>
      <c r="W243" s="304">
        <f t="shared" ca="1" si="91"/>
        <v>118.28334958622575</v>
      </c>
      <c r="Y243" s="314" t="str">
        <f t="shared" ca="1" si="109"/>
        <v/>
      </c>
      <c r="Z243" s="315" t="str">
        <f t="shared" ca="1" si="110"/>
        <v/>
      </c>
      <c r="AA243" s="316" t="str">
        <f t="shared" ca="1" si="111"/>
        <v/>
      </c>
      <c r="AC243" s="310" t="e">
        <f t="shared" ca="1" si="112"/>
        <v>#N/A</v>
      </c>
      <c r="AD243" s="323" t="e">
        <f t="shared" ca="1" si="113"/>
        <v>#N/A</v>
      </c>
      <c r="AE243" s="324">
        <f t="shared" ca="1" si="92"/>
        <v>269.8315863494534</v>
      </c>
      <c r="AG243" s="306">
        <f t="shared" ca="1" si="114"/>
        <v>55.153034471701389</v>
      </c>
      <c r="AH243" s="304">
        <f t="shared" ca="1" si="115"/>
        <v>64.907150616153018</v>
      </c>
    </row>
    <row r="244" spans="1:34" x14ac:dyDescent="0.2">
      <c r="A244" s="347">
        <f t="shared" ca="1" si="93"/>
        <v>0.01</v>
      </c>
      <c r="B244" s="304">
        <f t="shared" ca="1" si="94"/>
        <v>2.3999999999999928</v>
      </c>
      <c r="D244" s="306">
        <f t="shared" ca="1" si="95"/>
        <v>6.8896773586476634</v>
      </c>
      <c r="E244" s="307">
        <f t="shared" ca="1" si="96"/>
        <v>54.43002392769003</v>
      </c>
      <c r="F244" s="304">
        <f t="shared" ca="1" si="97"/>
        <v>54.864334124047943</v>
      </c>
      <c r="G244" s="306">
        <f t="shared" ca="1" si="98"/>
        <v>22.050702912554002</v>
      </c>
      <c r="H244" s="307">
        <f t="shared" ca="1" si="99"/>
        <v>205.50480547522773</v>
      </c>
      <c r="I244" s="304">
        <f t="shared" ca="1" si="100"/>
        <v>206.68444201813764</v>
      </c>
      <c r="J244" s="306">
        <f t="shared" ca="1" si="101"/>
        <v>27.688654929157352</v>
      </c>
      <c r="K244" s="307">
        <f t="shared" ca="1" si="102"/>
        <v>271.88391290300927</v>
      </c>
      <c r="L244" s="304">
        <f t="shared" ca="1" si="87"/>
        <v>273.290182237191</v>
      </c>
      <c r="M244" s="306">
        <f t="shared" ca="1" si="103"/>
        <v>1.4639051179718414</v>
      </c>
      <c r="N244" s="304">
        <f t="shared" ca="1" si="104"/>
        <v>83.875584867387388</v>
      </c>
      <c r="P244" s="310">
        <f t="shared" ca="1" si="105"/>
        <v>6</v>
      </c>
      <c r="Q244" s="304">
        <f t="shared" ca="1" si="106"/>
        <v>528.33000000000106</v>
      </c>
      <c r="R244" s="306">
        <f t="shared" ca="1" si="107"/>
        <v>0.26514421119623832</v>
      </c>
      <c r="S244" s="307">
        <f t="shared" ca="1" si="108"/>
        <v>6.3466438444011528</v>
      </c>
      <c r="T244" s="304">
        <f t="shared" ca="1" si="88"/>
        <v>62.260576113575311</v>
      </c>
      <c r="U244" s="311">
        <f t="shared" ca="1" si="89"/>
        <v>0</v>
      </c>
      <c r="V244" s="306">
        <f t="shared" ca="1" si="90"/>
        <v>1.1921409135197154</v>
      </c>
      <c r="W244" s="304">
        <f t="shared" ca="1" si="91"/>
        <v>118.88930286567917</v>
      </c>
      <c r="Y244" s="314" t="str">
        <f t="shared" ca="1" si="109"/>
        <v/>
      </c>
      <c r="Z244" s="315" t="str">
        <f t="shared" ca="1" si="110"/>
        <v/>
      </c>
      <c r="AA244" s="316" t="str">
        <f t="shared" ca="1" si="111"/>
        <v/>
      </c>
      <c r="AC244" s="310" t="e">
        <f t="shared" ca="1" si="112"/>
        <v>#N/A</v>
      </c>
      <c r="AD244" s="323" t="e">
        <f t="shared" ca="1" si="113"/>
        <v>#N/A</v>
      </c>
      <c r="AE244" s="324">
        <f t="shared" ca="1" si="92"/>
        <v>271.88391290300927</v>
      </c>
      <c r="AG244" s="306">
        <f t="shared" ca="1" si="114"/>
        <v>54.854359951613091</v>
      </c>
      <c r="AH244" s="304">
        <f t="shared" ca="1" si="115"/>
        <v>64.608423044804695</v>
      </c>
    </row>
    <row r="245" spans="1:34" x14ac:dyDescent="0.2">
      <c r="A245" s="347">
        <f t="shared" ca="1" si="93"/>
        <v>0.01</v>
      </c>
      <c r="B245" s="304">
        <f t="shared" ca="1" si="94"/>
        <v>2.4099999999999926</v>
      </c>
      <c r="D245" s="306">
        <f t="shared" ca="1" si="95"/>
        <v>6.8610583258040263</v>
      </c>
      <c r="E245" s="307">
        <f t="shared" ca="1" si="96"/>
        <v>54.132653537625373</v>
      </c>
      <c r="F245" s="304">
        <f t="shared" ca="1" si="97"/>
        <v>54.565724593142434</v>
      </c>
      <c r="G245" s="306">
        <f t="shared" ca="1" si="98"/>
        <v>22.11931349581204</v>
      </c>
      <c r="H245" s="307">
        <f t="shared" ca="1" si="99"/>
        <v>206.04613201060397</v>
      </c>
      <c r="I245" s="304">
        <f t="shared" ca="1" si="100"/>
        <v>207.22999914601471</v>
      </c>
      <c r="J245" s="306">
        <f t="shared" ca="1" si="101"/>
        <v>27.909505011199183</v>
      </c>
      <c r="K245" s="307">
        <f t="shared" ca="1" si="102"/>
        <v>273.94166759043844</v>
      </c>
      <c r="L245" s="304">
        <f t="shared" ca="1" si="87"/>
        <v>275.35972420127172</v>
      </c>
      <c r="M245" s="306">
        <f t="shared" ca="1" si="103"/>
        <v>1.4638546133604591</v>
      </c>
      <c r="N245" s="304">
        <f t="shared" ca="1" si="104"/>
        <v>83.872691166309238</v>
      </c>
      <c r="P245" s="310">
        <f t="shared" ca="1" si="105"/>
        <v>6</v>
      </c>
      <c r="Q245" s="304">
        <f t="shared" ca="1" si="106"/>
        <v>526.87000000000103</v>
      </c>
      <c r="R245" s="306">
        <f t="shared" ca="1" si="107"/>
        <v>0.26441150522015039</v>
      </c>
      <c r="S245" s="307">
        <f t="shared" ca="1" si="108"/>
        <v>6.3439997293489512</v>
      </c>
      <c r="T245" s="304">
        <f t="shared" ca="1" si="88"/>
        <v>62.234637344913217</v>
      </c>
      <c r="U245" s="311">
        <f t="shared" ca="1" si="89"/>
        <v>0</v>
      </c>
      <c r="V245" s="306">
        <f t="shared" ca="1" si="90"/>
        <v>1.1918955797249098</v>
      </c>
      <c r="W245" s="304">
        <f t="shared" ca="1" si="91"/>
        <v>119.493167541373</v>
      </c>
      <c r="Y245" s="314" t="str">
        <f t="shared" ca="1" si="109"/>
        <v/>
      </c>
      <c r="Z245" s="315" t="str">
        <f t="shared" ca="1" si="110"/>
        <v/>
      </c>
      <c r="AA245" s="316" t="str">
        <f t="shared" ca="1" si="111"/>
        <v/>
      </c>
      <c r="AC245" s="310" t="e">
        <f t="shared" ca="1" si="112"/>
        <v>#N/A</v>
      </c>
      <c r="AD245" s="323" t="e">
        <f t="shared" ca="1" si="113"/>
        <v>#N/A</v>
      </c>
      <c r="AE245" s="324">
        <f t="shared" ca="1" si="92"/>
        <v>273.94166759043844</v>
      </c>
      <c r="AG245" s="306">
        <f t="shared" ca="1" si="114"/>
        <v>54.555686358463774</v>
      </c>
      <c r="AH245" s="304">
        <f t="shared" ca="1" si="115"/>
        <v>64.309696491142603</v>
      </c>
    </row>
    <row r="246" spans="1:34" x14ac:dyDescent="0.2">
      <c r="A246" s="347">
        <f t="shared" ca="1" si="93"/>
        <v>0.01</v>
      </c>
      <c r="B246" s="304">
        <f t="shared" ca="1" si="94"/>
        <v>2.4199999999999924</v>
      </c>
      <c r="D246" s="306">
        <f t="shared" ca="1" si="95"/>
        <v>6.8324029150096628</v>
      </c>
      <c r="E246" s="307">
        <f t="shared" ca="1" si="96"/>
        <v>53.835293206873786</v>
      </c>
      <c r="F246" s="304">
        <f t="shared" ca="1" si="97"/>
        <v>54.2671219456413</v>
      </c>
      <c r="G246" s="306">
        <f t="shared" ca="1" si="98"/>
        <v>22.187637524962138</v>
      </c>
      <c r="H246" s="307">
        <f t="shared" ca="1" si="99"/>
        <v>206.5844849426727</v>
      </c>
      <c r="I246" s="304">
        <f t="shared" ca="1" si="100"/>
        <v>207.77256959947448</v>
      </c>
      <c r="J246" s="306">
        <f t="shared" ca="1" si="101"/>
        <v>28.131039766303054</v>
      </c>
      <c r="K246" s="307">
        <f t="shared" ca="1" si="102"/>
        <v>276.00482067520483</v>
      </c>
      <c r="L246" s="304">
        <f t="shared" ca="1" si="87"/>
        <v>277.43470661452091</v>
      </c>
      <c r="M246" s="306">
        <f t="shared" ca="1" si="103"/>
        <v>1.4638042169255234</v>
      </c>
      <c r="N246" s="304">
        <f t="shared" ca="1" si="104"/>
        <v>83.869803663284912</v>
      </c>
      <c r="P246" s="310">
        <f t="shared" ca="1" si="105"/>
        <v>6</v>
      </c>
      <c r="Q246" s="304">
        <f t="shared" ca="1" si="106"/>
        <v>525.41000000000111</v>
      </c>
      <c r="R246" s="306">
        <f t="shared" ca="1" si="107"/>
        <v>0.26367879924406257</v>
      </c>
      <c r="S246" s="307">
        <f t="shared" ca="1" si="108"/>
        <v>6.3413629413565102</v>
      </c>
      <c r="T246" s="304">
        <f t="shared" ca="1" si="88"/>
        <v>62.20877045470737</v>
      </c>
      <c r="U246" s="311">
        <f t="shared" ca="1" si="89"/>
        <v>0</v>
      </c>
      <c r="V246" s="306">
        <f t="shared" ca="1" si="90"/>
        <v>1.1916496523040514</v>
      </c>
      <c r="W246" s="304">
        <f t="shared" ca="1" si="91"/>
        <v>120.09491703025564</v>
      </c>
      <c r="Y246" s="314" t="str">
        <f t="shared" ca="1" si="109"/>
        <v/>
      </c>
      <c r="Z246" s="315" t="str">
        <f t="shared" ca="1" si="110"/>
        <v/>
      </c>
      <c r="AA246" s="316" t="str">
        <f t="shared" ca="1" si="111"/>
        <v/>
      </c>
      <c r="AC246" s="310" t="e">
        <f t="shared" ca="1" si="112"/>
        <v>#N/A</v>
      </c>
      <c r="AD246" s="323" t="e">
        <f t="shared" ca="1" si="113"/>
        <v>#N/A</v>
      </c>
      <c r="AE246" s="324">
        <f t="shared" ca="1" si="92"/>
        <v>276.00482067520483</v>
      </c>
      <c r="AG246" s="306">
        <f t="shared" ca="1" si="114"/>
        <v>54.257018960935113</v>
      </c>
      <c r="AH246" s="304">
        <f t="shared" ca="1" si="115"/>
        <v>64.010976222691426</v>
      </c>
    </row>
    <row r="247" spans="1:34" x14ac:dyDescent="0.2">
      <c r="A247" s="347">
        <f t="shared" ca="1" si="93"/>
        <v>0.01</v>
      </c>
      <c r="B247" s="304">
        <f t="shared" ca="1" si="94"/>
        <v>2.4299999999999922</v>
      </c>
      <c r="D247" s="306">
        <f t="shared" ca="1" si="95"/>
        <v>6.803711863393012</v>
      </c>
      <c r="E247" s="307">
        <f t="shared" ca="1" si="96"/>
        <v>53.537948127244164</v>
      </c>
      <c r="F247" s="304">
        <f t="shared" ca="1" si="97"/>
        <v>53.968531430784381</v>
      </c>
      <c r="G247" s="306">
        <f t="shared" ca="1" si="98"/>
        <v>22.25567464359607</v>
      </c>
      <c r="H247" s="307">
        <f t="shared" ca="1" si="99"/>
        <v>207.11986442394513</v>
      </c>
      <c r="I247" s="304">
        <f t="shared" ca="1" si="100"/>
        <v>208.31215349286518</v>
      </c>
      <c r="J247" s="306">
        <f t="shared" ca="1" si="101"/>
        <v>28.353256327145846</v>
      </c>
      <c r="K247" s="307">
        <f t="shared" ca="1" si="102"/>
        <v>278.07334242203791</v>
      </c>
      <c r="L247" s="304">
        <f t="shared" ca="1" si="87"/>
        <v>279.51509961022998</v>
      </c>
      <c r="M247" s="306">
        <f t="shared" ca="1" si="103"/>
        <v>1.4637539274333216</v>
      </c>
      <c r="N247" s="304">
        <f t="shared" ca="1" si="104"/>
        <v>83.866922287627901</v>
      </c>
      <c r="P247" s="310">
        <f t="shared" ca="1" si="105"/>
        <v>6</v>
      </c>
      <c r="Q247" s="304">
        <f t="shared" ca="1" si="106"/>
        <v>523.95000000000118</v>
      </c>
      <c r="R247" s="306">
        <f t="shared" ca="1" si="107"/>
        <v>0.26294609326797475</v>
      </c>
      <c r="S247" s="307">
        <f t="shared" ca="1" si="108"/>
        <v>6.3387334804238309</v>
      </c>
      <c r="T247" s="304">
        <f t="shared" ca="1" si="88"/>
        <v>62.182975442957783</v>
      </c>
      <c r="U247" s="311">
        <f t="shared" ca="1" si="89"/>
        <v>0</v>
      </c>
      <c r="V247" s="306">
        <f t="shared" ca="1" si="90"/>
        <v>1.1914031351780969</v>
      </c>
      <c r="W247" s="304">
        <f t="shared" ca="1" si="91"/>
        <v>120.69452499536241</v>
      </c>
      <c r="Y247" s="314" t="str">
        <f t="shared" ca="1" si="109"/>
        <v/>
      </c>
      <c r="Z247" s="315" t="str">
        <f t="shared" ca="1" si="110"/>
        <v/>
      </c>
      <c r="AA247" s="316" t="str">
        <f t="shared" ca="1" si="111"/>
        <v/>
      </c>
      <c r="AC247" s="310" t="e">
        <f t="shared" ca="1" si="112"/>
        <v>#N/A</v>
      </c>
      <c r="AD247" s="323" t="e">
        <f t="shared" ca="1" si="113"/>
        <v>#N/A</v>
      </c>
      <c r="AE247" s="324">
        <f t="shared" ca="1" si="92"/>
        <v>278.07334242203791</v>
      </c>
      <c r="AG247" s="306">
        <f t="shared" ca="1" si="114"/>
        <v>53.958362997652742</v>
      </c>
      <c r="AH247" s="304">
        <f t="shared" ca="1" si="115"/>
        <v>63.712267476931729</v>
      </c>
    </row>
    <row r="248" spans="1:34" x14ac:dyDescent="0.2">
      <c r="A248" s="347">
        <f t="shared" ca="1" si="93"/>
        <v>0.01</v>
      </c>
      <c r="B248" s="304">
        <f t="shared" ca="1" si="94"/>
        <v>2.439999999999992</v>
      </c>
      <c r="D248" s="306">
        <f t="shared" ca="1" si="95"/>
        <v>6.774985903539287</v>
      </c>
      <c r="E248" s="307">
        <f t="shared" ca="1" si="96"/>
        <v>53.240623460608859</v>
      </c>
      <c r="F248" s="304">
        <f t="shared" ca="1" si="97"/>
        <v>53.669958267800901</v>
      </c>
      <c r="G248" s="306">
        <f t="shared" ca="1" si="98"/>
        <v>22.323424502631461</v>
      </c>
      <c r="H248" s="307">
        <f t="shared" ca="1" si="99"/>
        <v>207.65227065855123</v>
      </c>
      <c r="I248" s="304">
        <f t="shared" ca="1" si="100"/>
        <v>208.84875099261882</v>
      </c>
      <c r="J248" s="306">
        <f t="shared" ca="1" si="101"/>
        <v>28.576151822876984</v>
      </c>
      <c r="K248" s="307">
        <f t="shared" ca="1" si="102"/>
        <v>280.14720309745042</v>
      </c>
      <c r="L248" s="304">
        <f t="shared" ca="1" si="87"/>
        <v>281.60087332309223</v>
      </c>
      <c r="M248" s="306">
        <f t="shared" ca="1" si="103"/>
        <v>1.4637037436637534</v>
      </c>
      <c r="N248" s="304">
        <f t="shared" ca="1" si="104"/>
        <v>83.864046969431584</v>
      </c>
      <c r="P248" s="310">
        <f t="shared" ca="1" si="105"/>
        <v>6</v>
      </c>
      <c r="Q248" s="304">
        <f t="shared" ca="1" si="106"/>
        <v>522.49000000000115</v>
      </c>
      <c r="R248" s="306">
        <f t="shared" ca="1" si="107"/>
        <v>0.26221338729188687</v>
      </c>
      <c r="S248" s="307">
        <f t="shared" ca="1" si="108"/>
        <v>6.3361113465509122</v>
      </c>
      <c r="T248" s="304">
        <f t="shared" ca="1" si="88"/>
        <v>62.15725230966445</v>
      </c>
      <c r="U248" s="311">
        <f t="shared" ca="1" si="89"/>
        <v>0</v>
      </c>
      <c r="V248" s="306">
        <f t="shared" ca="1" si="90"/>
        <v>1.1911560322656869</v>
      </c>
      <c r="W248" s="304">
        <f t="shared" ca="1" si="91"/>
        <v>121.291965346079</v>
      </c>
      <c r="Y248" s="314" t="str">
        <f t="shared" ca="1" si="109"/>
        <v/>
      </c>
      <c r="Z248" s="315" t="str">
        <f t="shared" ca="1" si="110"/>
        <v/>
      </c>
      <c r="AA248" s="316" t="str">
        <f t="shared" ca="1" si="111"/>
        <v/>
      </c>
      <c r="AC248" s="310" t="e">
        <f t="shared" ca="1" si="112"/>
        <v>#N/A</v>
      </c>
      <c r="AD248" s="323" t="e">
        <f t="shared" ca="1" si="113"/>
        <v>#N/A</v>
      </c>
      <c r="AE248" s="324">
        <f t="shared" ca="1" si="92"/>
        <v>280.14720309745042</v>
      </c>
      <c r="AG248" s="306">
        <f t="shared" ca="1" si="114"/>
        <v>53.659723677018178</v>
      </c>
      <c r="AH248" s="304">
        <f t="shared" ca="1" si="115"/>
        <v>63.413575461131643</v>
      </c>
    </row>
    <row r="249" spans="1:34" x14ac:dyDescent="0.2">
      <c r="A249" s="347">
        <f t="shared" ca="1" si="93"/>
        <v>0.01</v>
      </c>
      <c r="B249" s="304">
        <f t="shared" ca="1" si="94"/>
        <v>2.4499999999999917</v>
      </c>
      <c r="D249" s="306">
        <f t="shared" ca="1" si="95"/>
        <v>6.7462257634950733</v>
      </c>
      <c r="E249" s="307">
        <f t="shared" ca="1" si="96"/>
        <v>52.943324338738265</v>
      </c>
      <c r="F249" s="304">
        <f t="shared" ca="1" si="97"/>
        <v>53.371407645750551</v>
      </c>
      <c r="G249" s="306">
        <f t="shared" ca="1" si="98"/>
        <v>22.390886760266412</v>
      </c>
      <c r="H249" s="307">
        <f t="shared" ca="1" si="99"/>
        <v>208.18170390193862</v>
      </c>
      <c r="I249" s="304">
        <f t="shared" ca="1" si="100"/>
        <v>209.38236231694759</v>
      </c>
      <c r="J249" s="306">
        <f t="shared" ca="1" si="101"/>
        <v>28.799723379191473</v>
      </c>
      <c r="K249" s="307">
        <f t="shared" ca="1" si="102"/>
        <v>282.22637297025284</v>
      </c>
      <c r="L249" s="304">
        <f t="shared" ca="1" si="87"/>
        <v>283.6919978897223</v>
      </c>
      <c r="M249" s="306">
        <f t="shared" ca="1" si="103"/>
        <v>1.4636536644101066</v>
      </c>
      <c r="N249" s="304">
        <f t="shared" ca="1" si="104"/>
        <v>83.861177639556459</v>
      </c>
      <c r="P249" s="310">
        <f t="shared" ca="1" si="105"/>
        <v>6</v>
      </c>
      <c r="Q249" s="304">
        <f t="shared" ca="1" si="106"/>
        <v>521.03000000000122</v>
      </c>
      <c r="R249" s="306">
        <f t="shared" ca="1" si="107"/>
        <v>0.26148068131579899</v>
      </c>
      <c r="S249" s="307">
        <f t="shared" ca="1" si="108"/>
        <v>6.3334965397377543</v>
      </c>
      <c r="T249" s="304">
        <f t="shared" ca="1" si="88"/>
        <v>62.131601054827371</v>
      </c>
      <c r="U249" s="311">
        <f t="shared" ca="1" si="89"/>
        <v>0</v>
      </c>
      <c r="V249" s="306">
        <f t="shared" ca="1" si="90"/>
        <v>1.1909083474830648</v>
      </c>
      <c r="W249" s="304">
        <f t="shared" ca="1" si="91"/>
        <v>121.88721223838068</v>
      </c>
      <c r="Y249" s="314" t="str">
        <f t="shared" ca="1" si="109"/>
        <v/>
      </c>
      <c r="Z249" s="315" t="str">
        <f t="shared" ca="1" si="110"/>
        <v/>
      </c>
      <c r="AA249" s="316" t="str">
        <f t="shared" ca="1" si="111"/>
        <v/>
      </c>
      <c r="AC249" s="310" t="e">
        <f t="shared" ca="1" si="112"/>
        <v>#N/A</v>
      </c>
      <c r="AD249" s="323" t="e">
        <f t="shared" ca="1" si="113"/>
        <v>#N/A</v>
      </c>
      <c r="AE249" s="324">
        <f t="shared" ca="1" si="92"/>
        <v>282.22637297025284</v>
      </c>
      <c r="AG249" s="306">
        <f t="shared" ca="1" si="114"/>
        <v>53.361106177044356</v>
      </c>
      <c r="AH249" s="304">
        <f t="shared" ca="1" si="115"/>
        <v>63.114905352182262</v>
      </c>
    </row>
    <row r="250" spans="1:34" x14ac:dyDescent="0.2">
      <c r="A250" s="347">
        <f t="shared" ca="1" si="93"/>
        <v>0.01</v>
      </c>
      <c r="B250" s="304">
        <f t="shared" ca="1" si="94"/>
        <v>2.4599999999999915</v>
      </c>
      <c r="D250" s="306">
        <f t="shared" ca="1" si="95"/>
        <v>6.7174321667726611</v>
      </c>
      <c r="E250" s="307">
        <f t="shared" ca="1" si="96"/>
        <v>52.646055863139267</v>
      </c>
      <c r="F250" s="304">
        <f t="shared" ca="1" si="97"/>
        <v>53.072884723368603</v>
      </c>
      <c r="G250" s="306">
        <f t="shared" ca="1" si="98"/>
        <v>22.458061081934137</v>
      </c>
      <c r="H250" s="307">
        <f t="shared" ca="1" si="99"/>
        <v>208.70816446057</v>
      </c>
      <c r="I250" s="304">
        <f t="shared" ca="1" si="100"/>
        <v>209.91298773553822</v>
      </c>
      <c r="J250" s="306">
        <f t="shared" ca="1" si="101"/>
        <v>29.023968118402475</v>
      </c>
      <c r="K250" s="307">
        <f t="shared" ca="1" si="102"/>
        <v>284.3108223120654</v>
      </c>
      <c r="L250" s="304">
        <f t="shared" ca="1" si="87"/>
        <v>285.78844344917252</v>
      </c>
      <c r="M250" s="306">
        <f t="shared" ca="1" si="103"/>
        <v>1.4636036884788337</v>
      </c>
      <c r="N250" s="304">
        <f t="shared" ca="1" si="104"/>
        <v>83.858314229617278</v>
      </c>
      <c r="P250" s="310">
        <f t="shared" ca="1" si="105"/>
        <v>6</v>
      </c>
      <c r="Q250" s="304">
        <f t="shared" ca="1" si="106"/>
        <v>519.57000000000119</v>
      </c>
      <c r="R250" s="306">
        <f t="shared" ca="1" si="107"/>
        <v>0.26074797533971111</v>
      </c>
      <c r="S250" s="307">
        <f t="shared" ca="1" si="108"/>
        <v>6.330889059984357</v>
      </c>
      <c r="T250" s="304">
        <f t="shared" ca="1" si="88"/>
        <v>62.106021678446545</v>
      </c>
      <c r="U250" s="311">
        <f t="shared" ca="1" si="89"/>
        <v>0</v>
      </c>
      <c r="V250" s="306">
        <f t="shared" ca="1" si="90"/>
        <v>1.1906600847440001</v>
      </c>
      <c r="W250" s="304">
        <f t="shared" ca="1" si="91"/>
        <v>122.48024007504701</v>
      </c>
      <c r="Y250" s="314" t="str">
        <f t="shared" ca="1" si="109"/>
        <v/>
      </c>
      <c r="Z250" s="315" t="str">
        <f t="shared" ca="1" si="110"/>
        <v/>
      </c>
      <c r="AA250" s="316" t="str">
        <f t="shared" ca="1" si="111"/>
        <v/>
      </c>
      <c r="AC250" s="310" t="e">
        <f t="shared" ca="1" si="112"/>
        <v>#N/A</v>
      </c>
      <c r="AD250" s="323" t="e">
        <f t="shared" ca="1" si="113"/>
        <v>#N/A</v>
      </c>
      <c r="AE250" s="324">
        <f t="shared" ca="1" si="92"/>
        <v>284.3108223120654</v>
      </c>
      <c r="AG250" s="306">
        <f t="shared" ca="1" si="114"/>
        <v>53.062515645195177</v>
      </c>
      <c r="AH250" s="304">
        <f t="shared" ca="1" si="115"/>
        <v>62.816262296436946</v>
      </c>
    </row>
    <row r="251" spans="1:34" x14ac:dyDescent="0.2">
      <c r="A251" s="347">
        <f t="shared" ca="1" si="93"/>
        <v>0.01</v>
      </c>
      <c r="B251" s="304">
        <f t="shared" ca="1" si="94"/>
        <v>2.4699999999999913</v>
      </c>
      <c r="D251" s="306">
        <f t="shared" ca="1" si="95"/>
        <v>6.6886058323543587</v>
      </c>
      <c r="E251" s="307">
        <f t="shared" ca="1" si="96"/>
        <v>52.348823104898109</v>
      </c>
      <c r="F251" s="304">
        <f t="shared" ca="1" si="97"/>
        <v>52.77439462891563</v>
      </c>
      <c r="G251" s="306">
        <f t="shared" ca="1" si="98"/>
        <v>22.52494714025768</v>
      </c>
      <c r="H251" s="307">
        <f t="shared" ca="1" si="99"/>
        <v>209.23165269161899</v>
      </c>
      <c r="I251" s="304">
        <f t="shared" ca="1" si="100"/>
        <v>210.44062756924501</v>
      </c>
      <c r="J251" s="306">
        <f t="shared" ca="1" si="101"/>
        <v>29.248883159513433</v>
      </c>
      <c r="K251" s="307">
        <f t="shared" ca="1" si="102"/>
        <v>286.40052139782637</v>
      </c>
      <c r="L251" s="304">
        <f t="shared" ca="1" si="87"/>
        <v>287.89018014344578</v>
      </c>
      <c r="M251" s="306">
        <f t="shared" ca="1" si="103"/>
        <v>1.463553814689337</v>
      </c>
      <c r="N251" s="304">
        <f t="shared" ca="1" si="104"/>
        <v>83.855456671970799</v>
      </c>
      <c r="P251" s="310">
        <f t="shared" ca="1" si="105"/>
        <v>6</v>
      </c>
      <c r="Q251" s="304">
        <f t="shared" ca="1" si="106"/>
        <v>518.11000000000126</v>
      </c>
      <c r="R251" s="306">
        <f t="shared" ca="1" si="107"/>
        <v>0.26001526936362329</v>
      </c>
      <c r="S251" s="307">
        <f t="shared" ca="1" si="108"/>
        <v>6.3282889072907205</v>
      </c>
      <c r="T251" s="304">
        <f t="shared" ca="1" si="88"/>
        <v>62.080514180521973</v>
      </c>
      <c r="U251" s="311">
        <f t="shared" ca="1" si="89"/>
        <v>0</v>
      </c>
      <c r="V251" s="306">
        <f t="shared" ca="1" si="90"/>
        <v>1.1904112479597082</v>
      </c>
      <c r="W251" s="304">
        <f t="shared" ca="1" si="91"/>
        <v>123.07102350585282</v>
      </c>
      <c r="Y251" s="314" t="str">
        <f t="shared" ca="1" si="109"/>
        <v/>
      </c>
      <c r="Z251" s="315" t="str">
        <f t="shared" ca="1" si="110"/>
        <v/>
      </c>
      <c r="AA251" s="316" t="str">
        <f t="shared" ca="1" si="111"/>
        <v/>
      </c>
      <c r="AC251" s="310" t="e">
        <f t="shared" ca="1" si="112"/>
        <v>#N/A</v>
      </c>
      <c r="AD251" s="323" t="e">
        <f t="shared" ca="1" si="113"/>
        <v>#N/A</v>
      </c>
      <c r="AE251" s="324">
        <f t="shared" ca="1" si="92"/>
        <v>286.40052139782637</v>
      </c>
      <c r="AG251" s="306">
        <f t="shared" ca="1" si="114"/>
        <v>52.763957198229235</v>
      </c>
      <c r="AH251" s="304">
        <f t="shared" ca="1" si="115"/>
        <v>62.517651409554887</v>
      </c>
    </row>
    <row r="252" spans="1:34" x14ac:dyDescent="0.2">
      <c r="A252" s="347">
        <f t="shared" ca="1" si="93"/>
        <v>0.01</v>
      </c>
      <c r="B252" s="304">
        <f t="shared" ca="1" si="94"/>
        <v>2.4799999999999911</v>
      </c>
      <c r="D252" s="306">
        <f t="shared" ca="1" si="95"/>
        <v>6.6597474746964984</v>
      </c>
      <c r="E252" s="307">
        <f t="shared" ca="1" si="96"/>
        <v>52.051631104526663</v>
      </c>
      <c r="F252" s="304">
        <f t="shared" ca="1" si="97"/>
        <v>52.475942460030709</v>
      </c>
      <c r="G252" s="306">
        <f t="shared" ca="1" si="98"/>
        <v>22.591544615004644</v>
      </c>
      <c r="H252" s="307">
        <f t="shared" ca="1" si="99"/>
        <v>209.75216900266426</v>
      </c>
      <c r="I252" s="304">
        <f t="shared" ca="1" si="100"/>
        <v>210.96528218978111</v>
      </c>
      <c r="J252" s="306">
        <f t="shared" ca="1" si="101"/>
        <v>29.474465618289745</v>
      </c>
      <c r="K252" s="307">
        <f t="shared" ca="1" si="102"/>
        <v>288.49544050629777</v>
      </c>
      <c r="L252" s="304">
        <f t="shared" ca="1" si="87"/>
        <v>289.99717811800605</v>
      </c>
      <c r="M252" s="306">
        <f t="shared" ca="1" si="103"/>
        <v>1.4635040418737544</v>
      </c>
      <c r="N252" s="304">
        <f t="shared" ca="1" si="104"/>
        <v>83.852604899703437</v>
      </c>
      <c r="P252" s="310">
        <f t="shared" ca="1" si="105"/>
        <v>6</v>
      </c>
      <c r="Q252" s="304">
        <f t="shared" ca="1" si="106"/>
        <v>516.65000000000123</v>
      </c>
      <c r="R252" s="306">
        <f t="shared" ca="1" si="107"/>
        <v>0.25928256338753541</v>
      </c>
      <c r="S252" s="307">
        <f t="shared" ca="1" si="108"/>
        <v>6.3256960816568455</v>
      </c>
      <c r="T252" s="304">
        <f t="shared" ca="1" si="88"/>
        <v>62.055078561053655</v>
      </c>
      <c r="U252" s="311">
        <f t="shared" ca="1" si="89"/>
        <v>0</v>
      </c>
      <c r="V252" s="306">
        <f t="shared" ca="1" si="90"/>
        <v>1.190161841038776</v>
      </c>
      <c r="W252" s="304">
        <f t="shared" ca="1" si="91"/>
        <v>123.6595374277352</v>
      </c>
      <c r="Y252" s="314" t="str">
        <f t="shared" ca="1" si="109"/>
        <v/>
      </c>
      <c r="Z252" s="315" t="str">
        <f t="shared" ca="1" si="110"/>
        <v/>
      </c>
      <c r="AA252" s="316" t="str">
        <f t="shared" ca="1" si="111"/>
        <v/>
      </c>
      <c r="AC252" s="310" t="e">
        <f t="shared" ca="1" si="112"/>
        <v>#N/A</v>
      </c>
      <c r="AD252" s="323" t="e">
        <f t="shared" ca="1" si="113"/>
        <v>#N/A</v>
      </c>
      <c r="AE252" s="324">
        <f t="shared" ca="1" si="92"/>
        <v>288.49544050629777</v>
      </c>
      <c r="AG252" s="306">
        <f t="shared" ca="1" si="114"/>
        <v>52.465435922047085</v>
      </c>
      <c r="AH252" s="304">
        <f t="shared" ca="1" si="115"/>
        <v>62.219077776348207</v>
      </c>
    </row>
    <row r="253" spans="1:34" x14ac:dyDescent="0.2">
      <c r="A253" s="347">
        <f t="shared" ca="1" si="93"/>
        <v>0.01</v>
      </c>
      <c r="B253" s="304">
        <f t="shared" ca="1" si="94"/>
        <v>2.4899999999999909</v>
      </c>
      <c r="D253" s="306">
        <f t="shared" ca="1" si="95"/>
        <v>6.630857803733508</v>
      </c>
      <c r="E253" s="307">
        <f t="shared" ca="1" si="96"/>
        <v>51.754484871813219</v>
      </c>
      <c r="F253" s="304">
        <f t="shared" ca="1" si="97"/>
        <v>52.177533283589376</v>
      </c>
      <c r="G253" s="306">
        <f t="shared" ca="1" si="98"/>
        <v>22.65785319304198</v>
      </c>
      <c r="H253" s="307">
        <f t="shared" ca="1" si="99"/>
        <v>210.26971385138239</v>
      </c>
      <c r="I253" s="304">
        <f t="shared" ca="1" si="100"/>
        <v>211.4869520194087</v>
      </c>
      <c r="J253" s="306">
        <f t="shared" ca="1" si="101"/>
        <v>29.700712607329979</v>
      </c>
      <c r="K253" s="307">
        <f t="shared" ca="1" si="102"/>
        <v>290.59554992056798</v>
      </c>
      <c r="L253" s="304">
        <f t="shared" ca="1" si="87"/>
        <v>292.10940752228527</v>
      </c>
      <c r="M253" s="306">
        <f t="shared" ca="1" si="103"/>
        <v>1.4634543688767507</v>
      </c>
      <c r="N253" s="304">
        <f t="shared" ca="1" si="104"/>
        <v>83.849758846619352</v>
      </c>
      <c r="P253" s="310">
        <f t="shared" ca="1" si="105"/>
        <v>6</v>
      </c>
      <c r="Q253" s="304">
        <f t="shared" ca="1" si="106"/>
        <v>515.19000000000131</v>
      </c>
      <c r="R253" s="306">
        <f t="shared" ca="1" si="107"/>
        <v>0.25854985741144754</v>
      </c>
      <c r="S253" s="307">
        <f t="shared" ca="1" si="108"/>
        <v>6.3231105830827312</v>
      </c>
      <c r="T253" s="304">
        <f t="shared" ca="1" si="88"/>
        <v>62.029714820041598</v>
      </c>
      <c r="U253" s="311">
        <f t="shared" ca="1" si="89"/>
        <v>0</v>
      </c>
      <c r="V253" s="306">
        <f t="shared" ca="1" si="90"/>
        <v>1.1899118678870826</v>
      </c>
      <c r="W253" s="304">
        <f t="shared" ca="1" si="91"/>
        <v>124.24575698493723</v>
      </c>
      <c r="Y253" s="314" t="str">
        <f t="shared" ca="1" si="109"/>
        <v/>
      </c>
      <c r="Z253" s="315" t="str">
        <f t="shared" ca="1" si="110"/>
        <v/>
      </c>
      <c r="AA253" s="316" t="str">
        <f t="shared" ca="1" si="111"/>
        <v/>
      </c>
      <c r="AC253" s="310" t="e">
        <f t="shared" ca="1" si="112"/>
        <v>#N/A</v>
      </c>
      <c r="AD253" s="323" t="e">
        <f t="shared" ca="1" si="113"/>
        <v>#N/A</v>
      </c>
      <c r="AE253" s="324">
        <f t="shared" ca="1" si="92"/>
        <v>290.59554992056798</v>
      </c>
      <c r="AG253" s="306">
        <f t="shared" ca="1" si="114"/>
        <v>52.166956871542929</v>
      </c>
      <c r="AH253" s="304">
        <f t="shared" ca="1" si="115"/>
        <v>61.920546450633431</v>
      </c>
    </row>
    <row r="254" spans="1:34" x14ac:dyDescent="0.2">
      <c r="A254" s="347">
        <f t="shared" ca="1" si="93"/>
        <v>0.01</v>
      </c>
      <c r="B254" s="304">
        <f t="shared" ca="1" si="94"/>
        <v>2.4999999999999907</v>
      </c>
      <c r="D254" s="306">
        <f t="shared" ca="1" si="95"/>
        <v>6.6019375248818033</v>
      </c>
      <c r="E254" s="307">
        <f t="shared" ca="1" si="96"/>
        <v>51.457389385676635</v>
      </c>
      <c r="F254" s="304">
        <f t="shared" ca="1" si="97"/>
        <v>51.879172135565049</v>
      </c>
      <c r="G254" s="306">
        <f t="shared" ca="1" si="98"/>
        <v>22.723872568290798</v>
      </c>
      <c r="H254" s="307">
        <f t="shared" ca="1" si="99"/>
        <v>210.78428774523917</v>
      </c>
      <c r="I254" s="304">
        <f t="shared" ca="1" si="100"/>
        <v>212.00563753062724</v>
      </c>
      <c r="J254" s="306">
        <f t="shared" ca="1" si="101"/>
        <v>29.927621236136645</v>
      </c>
      <c r="K254" s="307">
        <f t="shared" ca="1" si="102"/>
        <v>292.70081992855108</v>
      </c>
      <c r="L254" s="304">
        <f t="shared" ca="1" si="87"/>
        <v>294.22683851018712</v>
      </c>
      <c r="M254" s="306">
        <f t="shared" ca="1" si="103"/>
        <v>1.4634047945553146</v>
      </c>
      <c r="N254" s="304">
        <f t="shared" ca="1" si="104"/>
        <v>83.846918447228845</v>
      </c>
      <c r="P254" s="310">
        <f t="shared" ca="1" si="105"/>
        <v>6</v>
      </c>
      <c r="Q254" s="304">
        <f t="shared" ca="1" si="106"/>
        <v>513.73000000000138</v>
      </c>
      <c r="R254" s="306">
        <f t="shared" ca="1" si="107"/>
        <v>0.25781715143535971</v>
      </c>
      <c r="S254" s="307">
        <f t="shared" ca="1" si="108"/>
        <v>6.3205324115683776</v>
      </c>
      <c r="T254" s="304">
        <f t="shared" ca="1" si="88"/>
        <v>62.004422957485787</v>
      </c>
      <c r="U254" s="311">
        <f t="shared" ca="1" si="89"/>
        <v>0</v>
      </c>
      <c r="V254" s="306">
        <f t="shared" ca="1" si="90"/>
        <v>1.1896613324077245</v>
      </c>
      <c r="W254" s="304">
        <f t="shared" ca="1" si="91"/>
        <v>124.82965756912772</v>
      </c>
      <c r="Y254" s="314" t="str">
        <f t="shared" ca="1" si="109"/>
        <v/>
      </c>
      <c r="Z254" s="315" t="str">
        <f t="shared" ca="1" si="110"/>
        <v/>
      </c>
      <c r="AA254" s="316" t="str">
        <f t="shared" ca="1" si="111"/>
        <v/>
      </c>
      <c r="AC254" s="310" t="e">
        <f t="shared" ca="1" si="112"/>
        <v>#N/A</v>
      </c>
      <c r="AD254" s="323" t="e">
        <f t="shared" ca="1" si="113"/>
        <v>#N/A</v>
      </c>
      <c r="AE254" s="324">
        <f t="shared" ca="1" si="92"/>
        <v>292.70081992855108</v>
      </c>
      <c r="AG254" s="306">
        <f t="shared" ca="1" si="114"/>
        <v>51.86852507045964</v>
      </c>
      <c r="AH254" s="304">
        <f t="shared" ca="1" si="115"/>
        <v>61.622062455086365</v>
      </c>
    </row>
    <row r="255" spans="1:34" x14ac:dyDescent="0.2">
      <c r="A255" s="347">
        <f t="shared" ca="1" si="93"/>
        <v>0.01</v>
      </c>
      <c r="B255" s="304">
        <f t="shared" ca="1" si="94"/>
        <v>2.5099999999999905</v>
      </c>
      <c r="D255" s="306">
        <f t="shared" ca="1" si="95"/>
        <v>6.5680442653951809</v>
      </c>
      <c r="E255" s="307">
        <f t="shared" ca="1" si="96"/>
        <v>51.114498154966434</v>
      </c>
      <c r="F255" s="304">
        <f t="shared" ca="1" si="97"/>
        <v>51.534756496041169</v>
      </c>
      <c r="G255" s="306">
        <f t="shared" ca="1" si="98"/>
        <v>22.789553010944751</v>
      </c>
      <c r="H255" s="307">
        <f t="shared" ca="1" si="99"/>
        <v>211.29543272678885</v>
      </c>
      <c r="I255" s="304">
        <f t="shared" ca="1" si="100"/>
        <v>212.52087807469556</v>
      </c>
      <c r="J255" s="306">
        <f t="shared" ca="1" si="101"/>
        <v>30.155188364032824</v>
      </c>
      <c r="K255" s="307">
        <f t="shared" ca="1" si="102"/>
        <v>294.81121853091122</v>
      </c>
      <c r="L255" s="304">
        <f t="shared" ca="1" si="87"/>
        <v>296.34943893476662</v>
      </c>
      <c r="M255" s="306">
        <f t="shared" ca="1" si="103"/>
        <v>1.4633553176711915</v>
      </c>
      <c r="N255" s="304">
        <f t="shared" ca="1" si="104"/>
        <v>83.844083630585132</v>
      </c>
      <c r="P255" s="310">
        <f t="shared" ca="1" si="105"/>
        <v>7</v>
      </c>
      <c r="Q255" s="304">
        <f t="shared" ca="1" si="106"/>
        <v>511.97872340425727</v>
      </c>
      <c r="R255" s="306">
        <f t="shared" ca="1" si="107"/>
        <v>0.25693826730694563</v>
      </c>
      <c r="S255" s="307">
        <f t="shared" ca="1" si="108"/>
        <v>6.3179630288953081</v>
      </c>
      <c r="T255" s="304">
        <f t="shared" ca="1" si="88"/>
        <v>61.979217313462975</v>
      </c>
      <c r="U255" s="311">
        <f t="shared" ca="1" si="89"/>
        <v>0</v>
      </c>
      <c r="V255" s="306">
        <f t="shared" ca="1" si="90"/>
        <v>1.1894102387736811</v>
      </c>
      <c r="W255" s="304">
        <f t="shared" ca="1" si="91"/>
        <v>125.41067056434063</v>
      </c>
      <c r="Y255" s="314" t="str">
        <f t="shared" ca="1" si="109"/>
        <v/>
      </c>
      <c r="Z255" s="315" t="str">
        <f t="shared" ca="1" si="110"/>
        <v/>
      </c>
      <c r="AA255" s="316" t="str">
        <f t="shared" ca="1" si="111"/>
        <v/>
      </c>
      <c r="AC255" s="310" t="e">
        <f t="shared" ca="1" si="112"/>
        <v>#N/A</v>
      </c>
      <c r="AD255" s="323" t="e">
        <f t="shared" ca="1" si="113"/>
        <v>#N/A</v>
      </c>
      <c r="AE255" s="324">
        <f t="shared" ca="1" si="92"/>
        <v>294.81121853091122</v>
      </c>
      <c r="AG255" s="306">
        <f t="shared" ca="1" si="114"/>
        <v>51.524028394677174</v>
      </c>
      <c r="AH255" s="304">
        <f t="shared" ca="1" si="115"/>
        <v>61.277513664530311</v>
      </c>
    </row>
    <row r="256" spans="1:34" x14ac:dyDescent="0.2">
      <c r="A256" s="347">
        <f t="shared" ca="1" si="93"/>
        <v>0.01</v>
      </c>
      <c r="B256" s="304">
        <f t="shared" ca="1" si="94"/>
        <v>2.5199999999999902</v>
      </c>
      <c r="D256" s="306">
        <f t="shared" ca="1" si="95"/>
        <v>6.5291736594515095</v>
      </c>
      <c r="E256" s="307">
        <f t="shared" ca="1" si="96"/>
        <v>50.725832934485815</v>
      </c>
      <c r="F256" s="304">
        <f t="shared" ca="1" si="97"/>
        <v>51.144307948907091</v>
      </c>
      <c r="G256" s="306">
        <f t="shared" ca="1" si="98"/>
        <v>22.854844747539264</v>
      </c>
      <c r="H256" s="307">
        <f t="shared" ca="1" si="99"/>
        <v>211.80269105613371</v>
      </c>
      <c r="I256" s="304">
        <f t="shared" ca="1" si="100"/>
        <v>213.03221321446705</v>
      </c>
      <c r="J256" s="306">
        <f t="shared" ca="1" si="101"/>
        <v>30.383410352825244</v>
      </c>
      <c r="K256" s="307">
        <f t="shared" ca="1" si="102"/>
        <v>296.92670914982585</v>
      </c>
      <c r="L256" s="304">
        <f t="shared" ca="1" si="87"/>
        <v>298.47717204371503</v>
      </c>
      <c r="M256" s="306">
        <f t="shared" ca="1" si="103"/>
        <v>1.4633059368925418</v>
      </c>
      <c r="N256" s="304">
        <f t="shared" ca="1" si="104"/>
        <v>83.841254320379434</v>
      </c>
      <c r="P256" s="310">
        <f t="shared" ca="1" si="105"/>
        <v>7</v>
      </c>
      <c r="Q256" s="304">
        <f t="shared" ca="1" si="106"/>
        <v>509.93617021276793</v>
      </c>
      <c r="R256" s="306">
        <f t="shared" ca="1" si="107"/>
        <v>0.25591320502620485</v>
      </c>
      <c r="S256" s="307">
        <f t="shared" ca="1" si="108"/>
        <v>6.3154038968450461</v>
      </c>
      <c r="T256" s="304">
        <f t="shared" ca="1" si="88"/>
        <v>61.954112228049908</v>
      </c>
      <c r="U256" s="311">
        <f t="shared" ca="1" si="89"/>
        <v>0</v>
      </c>
      <c r="V256" s="306">
        <f t="shared" ca="1" si="90"/>
        <v>1.1891585917000367</v>
      </c>
      <c r="W256" s="304">
        <f t="shared" ca="1" si="91"/>
        <v>125.98822306846891</v>
      </c>
      <c r="Y256" s="314" t="str">
        <f t="shared" ca="1" si="109"/>
        <v/>
      </c>
      <c r="Z256" s="315" t="str">
        <f t="shared" ca="1" si="110"/>
        <v/>
      </c>
      <c r="AA256" s="316" t="str">
        <f t="shared" ca="1" si="111"/>
        <v/>
      </c>
      <c r="AC256" s="310" t="e">
        <f t="shared" ca="1" si="112"/>
        <v>#N/A</v>
      </c>
      <c r="AD256" s="323" t="e">
        <f t="shared" ca="1" si="113"/>
        <v>#N/A</v>
      </c>
      <c r="AE256" s="324">
        <f t="shared" ca="1" si="92"/>
        <v>296.92670914982585</v>
      </c>
      <c r="AG256" s="306">
        <f t="shared" ca="1" si="114"/>
        <v>51.133488003608136</v>
      </c>
      <c r="AH256" s="304">
        <f t="shared" ca="1" si="115"/>
        <v>60.88692123721853</v>
      </c>
    </row>
    <row r="257" spans="1:34" x14ac:dyDescent="0.2">
      <c r="A257" s="347">
        <f t="shared" ca="1" si="93"/>
        <v>0.01</v>
      </c>
      <c r="B257" s="304">
        <f t="shared" ca="1" si="94"/>
        <v>2.52999999999999</v>
      </c>
      <c r="D257" s="306">
        <f t="shared" ca="1" si="95"/>
        <v>6.4902731252458556</v>
      </c>
      <c r="E257" s="307">
        <f t="shared" ca="1" si="96"/>
        <v>50.337304818790443</v>
      </c>
      <c r="F257" s="304">
        <f t="shared" ca="1" si="97"/>
        <v>50.753993947866924</v>
      </c>
      <c r="G257" s="306">
        <f t="shared" ca="1" si="98"/>
        <v>22.919747478791724</v>
      </c>
      <c r="H257" s="307">
        <f t="shared" ca="1" si="99"/>
        <v>212.30606410432162</v>
      </c>
      <c r="I257" s="304">
        <f t="shared" ca="1" si="100"/>
        <v>213.53964428171156</v>
      </c>
      <c r="J257" s="306">
        <f t="shared" ca="1" si="101"/>
        <v>30.612283313956898</v>
      </c>
      <c r="K257" s="307">
        <f t="shared" ca="1" si="102"/>
        <v>299.04725292562813</v>
      </c>
      <c r="L257" s="304">
        <f t="shared" ca="1" si="87"/>
        <v>300.60999878922615</v>
      </c>
      <c r="M257" s="306">
        <f t="shared" ca="1" si="103"/>
        <v>1.4632566509020652</v>
      </c>
      <c r="N257" s="304">
        <f t="shared" ca="1" si="104"/>
        <v>83.838430441135998</v>
      </c>
      <c r="P257" s="310">
        <f t="shared" ca="1" si="105"/>
        <v>7</v>
      </c>
      <c r="Q257" s="304">
        <f t="shared" ca="1" si="106"/>
        <v>507.8936170212786</v>
      </c>
      <c r="R257" s="306">
        <f t="shared" ca="1" si="107"/>
        <v>0.25488814274546401</v>
      </c>
      <c r="S257" s="307">
        <f t="shared" ca="1" si="108"/>
        <v>6.3128550154175915</v>
      </c>
      <c r="T257" s="304">
        <f t="shared" ca="1" si="88"/>
        <v>61.929107701246579</v>
      </c>
      <c r="U257" s="311">
        <f t="shared" ca="1" si="89"/>
        <v>0</v>
      </c>
      <c r="V257" s="306">
        <f t="shared" ca="1" si="90"/>
        <v>1.1889063961702837</v>
      </c>
      <c r="W257" s="304">
        <f t="shared" ca="1" si="91"/>
        <v>126.56228508809939</v>
      </c>
      <c r="Y257" s="314" t="str">
        <f t="shared" ca="1" si="109"/>
        <v/>
      </c>
      <c r="Z257" s="315" t="str">
        <f t="shared" ca="1" si="110"/>
        <v/>
      </c>
      <c r="AA257" s="316" t="str">
        <f t="shared" ca="1" si="111"/>
        <v/>
      </c>
      <c r="AC257" s="310" t="e">
        <f t="shared" ca="1" si="112"/>
        <v>#N/A</v>
      </c>
      <c r="AD257" s="323" t="e">
        <f t="shared" ca="1" si="113"/>
        <v>#N/A</v>
      </c>
      <c r="AE257" s="324">
        <f t="shared" ca="1" si="92"/>
        <v>299.04725292562813</v>
      </c>
      <c r="AG257" s="306">
        <f t="shared" ca="1" si="114"/>
        <v>50.74308078889743</v>
      </c>
      <c r="AH257" s="304">
        <f t="shared" ca="1" si="115"/>
        <v>60.496462063535425</v>
      </c>
    </row>
    <row r="258" spans="1:34" x14ac:dyDescent="0.2">
      <c r="A258" s="347">
        <f t="shared" ca="1" si="93"/>
        <v>0.01</v>
      </c>
      <c r="B258" s="304">
        <f t="shared" ca="1" si="94"/>
        <v>2.5399999999999898</v>
      </c>
      <c r="D258" s="306">
        <f t="shared" ca="1" si="95"/>
        <v>6.4513436051679411</v>
      </c>
      <c r="E258" s="307">
        <f t="shared" ca="1" si="96"/>
        <v>49.948920566868061</v>
      </c>
      <c r="F258" s="304">
        <f t="shared" ca="1" si="97"/>
        <v>50.363821341387869</v>
      </c>
      <c r="G258" s="306">
        <f t="shared" ca="1" si="98"/>
        <v>22.984260914843404</v>
      </c>
      <c r="H258" s="307">
        <f t="shared" ca="1" si="99"/>
        <v>212.8055533099903</v>
      </c>
      <c r="I258" s="304">
        <f t="shared" ca="1" si="100"/>
        <v>214.04317267638487</v>
      </c>
      <c r="J258" s="306">
        <f t="shared" ca="1" si="101"/>
        <v>30.841803355925073</v>
      </c>
      <c r="K258" s="307">
        <f t="shared" ca="1" si="102"/>
        <v>301.1728110126997</v>
      </c>
      <c r="L258" s="304">
        <f t="shared" ca="1" si="87"/>
        <v>302.74788013714794</v>
      </c>
      <c r="M258" s="306">
        <f t="shared" ca="1" si="103"/>
        <v>1.4632074583967378</v>
      </c>
      <c r="N258" s="304">
        <f t="shared" ca="1" si="104"/>
        <v>83.83561191819706</v>
      </c>
      <c r="P258" s="310">
        <f t="shared" ca="1" si="105"/>
        <v>7</v>
      </c>
      <c r="Q258" s="304">
        <f t="shared" ca="1" si="106"/>
        <v>505.85106382978927</v>
      </c>
      <c r="R258" s="306">
        <f t="shared" ca="1" si="107"/>
        <v>0.25386308046472317</v>
      </c>
      <c r="S258" s="307">
        <f t="shared" ca="1" si="108"/>
        <v>6.3103163846129444</v>
      </c>
      <c r="T258" s="304">
        <f t="shared" ca="1" si="88"/>
        <v>61.904203733052988</v>
      </c>
      <c r="U258" s="311">
        <f t="shared" ca="1" si="89"/>
        <v>0</v>
      </c>
      <c r="V258" s="306">
        <f t="shared" ca="1" si="90"/>
        <v>1.1886536571630559</v>
      </c>
      <c r="W258" s="304">
        <f t="shared" ca="1" si="91"/>
        <v>127.13282702486971</v>
      </c>
      <c r="Y258" s="314" t="str">
        <f t="shared" ca="1" si="109"/>
        <v/>
      </c>
      <c r="Z258" s="315" t="str">
        <f t="shared" ca="1" si="110"/>
        <v/>
      </c>
      <c r="AA258" s="316" t="str">
        <f t="shared" ca="1" si="111"/>
        <v/>
      </c>
      <c r="AC258" s="310" t="e">
        <f t="shared" ca="1" si="112"/>
        <v>#N/A</v>
      </c>
      <c r="AD258" s="323" t="e">
        <f t="shared" ca="1" si="113"/>
        <v>#N/A</v>
      </c>
      <c r="AE258" s="324">
        <f t="shared" ca="1" si="92"/>
        <v>301.1728110126997</v>
      </c>
      <c r="AG258" s="306">
        <f t="shared" ca="1" si="114"/>
        <v>50.352813569154208</v>
      </c>
      <c r="AH258" s="304">
        <f t="shared" ca="1" si="115"/>
        <v>60.106142960842099</v>
      </c>
    </row>
    <row r="259" spans="1:34" x14ac:dyDescent="0.2">
      <c r="A259" s="347">
        <f t="shared" ca="1" si="93"/>
        <v>0.01</v>
      </c>
      <c r="B259" s="304">
        <f t="shared" ca="1" si="94"/>
        <v>2.5499999999999896</v>
      </c>
      <c r="D259" s="306">
        <f t="shared" ca="1" si="95"/>
        <v>6.4123860342779269</v>
      </c>
      <c r="E259" s="307">
        <f t="shared" ca="1" si="96"/>
        <v>49.560686885150382</v>
      </c>
      <c r="F259" s="304">
        <f t="shared" ca="1" si="97"/>
        <v>49.973796925794218</v>
      </c>
      <c r="G259" s="306">
        <f t="shared" ca="1" si="98"/>
        <v>23.048384775186182</v>
      </c>
      <c r="H259" s="307">
        <f t="shared" ca="1" si="99"/>
        <v>213.3011601788418</v>
      </c>
      <c r="I259" s="304">
        <f t="shared" ca="1" si="100"/>
        <v>214.54279986609887</v>
      </c>
      <c r="J259" s="306">
        <f t="shared" ca="1" si="101"/>
        <v>31.071966584375222</v>
      </c>
      <c r="K259" s="307">
        <f t="shared" ca="1" si="102"/>
        <v>303.30334458014386</v>
      </c>
      <c r="L259" s="304">
        <f t="shared" ca="1" si="87"/>
        <v>304.89077706766074</v>
      </c>
      <c r="M259" s="306">
        <f t="shared" ca="1" si="103"/>
        <v>1.4631583580875545</v>
      </c>
      <c r="N259" s="304">
        <f t="shared" ca="1" si="104"/>
        <v>83.83279867770807</v>
      </c>
      <c r="P259" s="310">
        <f t="shared" ca="1" si="105"/>
        <v>7</v>
      </c>
      <c r="Q259" s="304">
        <f t="shared" ca="1" si="106"/>
        <v>503.80851063829999</v>
      </c>
      <c r="R259" s="306">
        <f t="shared" ca="1" si="107"/>
        <v>0.25283801818398238</v>
      </c>
      <c r="S259" s="307">
        <f t="shared" ca="1" si="108"/>
        <v>6.3077880044311048</v>
      </c>
      <c r="T259" s="304">
        <f t="shared" ca="1" si="88"/>
        <v>61.879400323469142</v>
      </c>
      <c r="U259" s="311">
        <f t="shared" ca="1" si="89"/>
        <v>0</v>
      </c>
      <c r="V259" s="306">
        <f t="shared" ca="1" si="90"/>
        <v>1.1884003796520275</v>
      </c>
      <c r="W259" s="304">
        <f t="shared" ca="1" si="91"/>
        <v>127.69981967511006</v>
      </c>
      <c r="Y259" s="314" t="str">
        <f t="shared" ca="1" si="109"/>
        <v/>
      </c>
      <c r="Z259" s="315" t="str">
        <f t="shared" ca="1" si="110"/>
        <v/>
      </c>
      <c r="AA259" s="316" t="str">
        <f t="shared" ca="1" si="111"/>
        <v/>
      </c>
      <c r="AC259" s="310" t="e">
        <f t="shared" ca="1" si="112"/>
        <v>#N/A</v>
      </c>
      <c r="AD259" s="323" t="e">
        <f t="shared" ca="1" si="113"/>
        <v>#N/A</v>
      </c>
      <c r="AE259" s="324">
        <f t="shared" ca="1" si="92"/>
        <v>303.30334458014386</v>
      </c>
      <c r="AG259" s="306">
        <f t="shared" ca="1" si="114"/>
        <v>49.962693109977543</v>
      </c>
      <c r="AH259" s="304">
        <f t="shared" ca="1" si="115"/>
        <v>59.715970693501838</v>
      </c>
    </row>
    <row r="260" spans="1:34" x14ac:dyDescent="0.2">
      <c r="A260" s="347">
        <f t="shared" ca="1" si="93"/>
        <v>0.01</v>
      </c>
      <c r="B260" s="304">
        <f t="shared" ca="1" si="94"/>
        <v>2.5599999999999894</v>
      </c>
      <c r="D260" s="306">
        <f t="shared" ca="1" si="95"/>
        <v>6.3734013403147447</v>
      </c>
      <c r="E260" s="307">
        <f t="shared" ca="1" si="96"/>
        <v>49.172610427352126</v>
      </c>
      <c r="F260" s="304">
        <f t="shared" ca="1" si="97"/>
        <v>49.583927445139565</v>
      </c>
      <c r="G260" s="306">
        <f t="shared" ca="1" si="98"/>
        <v>23.112118788589331</v>
      </c>
      <c r="H260" s="307">
        <f t="shared" ca="1" si="99"/>
        <v>213.79288628311531</v>
      </c>
      <c r="I260" s="304">
        <f t="shared" ca="1" si="100"/>
        <v>215.03852738558953</v>
      </c>
      <c r="J260" s="306">
        <f t="shared" ca="1" si="101"/>
        <v>31.302769102194098</v>
      </c>
      <c r="K260" s="307">
        <f t="shared" ca="1" si="102"/>
        <v>305.43881481245364</v>
      </c>
      <c r="L260" s="304">
        <f t="shared" ref="L260:L323" ca="1" si="116">SQRT(pos_x^2+pos_z^2)</f>
        <v>307.03865057595215</v>
      </c>
      <c r="M260" s="306">
        <f t="shared" ca="1" si="103"/>
        <v>1.463109348699277</v>
      </c>
      <c r="N260" s="304">
        <f t="shared" ca="1" si="104"/>
        <v>83.82999064660325</v>
      </c>
      <c r="P260" s="310">
        <f t="shared" ca="1" si="105"/>
        <v>7</v>
      </c>
      <c r="Q260" s="304">
        <f t="shared" ca="1" si="106"/>
        <v>501.76595744681066</v>
      </c>
      <c r="R260" s="306">
        <f t="shared" ca="1" si="107"/>
        <v>0.2518129559032416</v>
      </c>
      <c r="S260" s="307">
        <f t="shared" ca="1" si="108"/>
        <v>6.3052698748720726</v>
      </c>
      <c r="T260" s="304">
        <f t="shared" ref="T260:T323" ca="1" si="117">m*g</f>
        <v>61.854697472495033</v>
      </c>
      <c r="U260" s="311">
        <f t="shared" ref="U260:U323" ca="1" si="118">IF(pos_xz&lt;L_rampe,Poids*COS(Beta),0)</f>
        <v>0</v>
      </c>
      <c r="V260" s="306">
        <f t="shared" ref="V260:V323" ca="1" si="119">Rho_moyen*(20000-Alt_rampe-pos_z)/(20000+Alt_rampe+pos_z)</f>
        <v>1.1881465686058152</v>
      </c>
      <c r="W260" s="304">
        <f t="shared" ref="W260:W323" ca="1" si="120">1/2*Rho*Sref*Cx*vit_xz^2</f>
        <v>128.26323422944697</v>
      </c>
      <c r="Y260" s="314" t="str">
        <f t="shared" ca="1" si="109"/>
        <v/>
      </c>
      <c r="Z260" s="315" t="str">
        <f t="shared" ca="1" si="110"/>
        <v/>
      </c>
      <c r="AA260" s="316" t="str">
        <f t="shared" ca="1" si="111"/>
        <v/>
      </c>
      <c r="AC260" s="310" t="e">
        <f t="shared" ca="1" si="112"/>
        <v>#N/A</v>
      </c>
      <c r="AD260" s="323" t="e">
        <f t="shared" ca="1" si="113"/>
        <v>#N/A</v>
      </c>
      <c r="AE260" s="324">
        <f t="shared" ref="AE260:AE323" ca="1" si="121">IF(t&lt;T_para, pos_z, NA())</f>
        <v>305.43881481245364</v>
      </c>
      <c r="AG260" s="306">
        <f t="shared" ca="1" si="114"/>
        <v>49.572726123796869</v>
      </c>
      <c r="AH260" s="304">
        <f t="shared" ca="1" si="115"/>
        <v>59.325951972720283</v>
      </c>
    </row>
    <row r="261" spans="1:34" x14ac:dyDescent="0.2">
      <c r="A261" s="347">
        <f t="shared" ref="A261:A324" ca="1" si="122">IF(B260+0.01&lt;=T_ini+ROUNDUP(Temps_fin_propu,0), 0.01, IF(K260&gt;0, 0.1, 0.0001))</f>
        <v>0.01</v>
      </c>
      <c r="B261" s="304">
        <f t="shared" ref="B261:B324" ca="1" si="123">B260+pas</f>
        <v>2.5699999999999892</v>
      </c>
      <c r="D261" s="306">
        <f t="shared" ref="D261:D324" ca="1" si="124">IF(AND(L260&lt;L_rampe,Poussee&lt;Poids*SIN(M260)),0,(-W260+Poussee)/m*COS(M260)-U260/m*SIN(M260))</f>
        <v>6.3343904437044101</v>
      </c>
      <c r="E261" s="307">
        <f t="shared" ref="E261:E324" ca="1" si="125">IF(AND(L260&lt;L_rampe,Poussee&lt;Poids*SIN(M260)),0,(-W260+Poussee)/m*SIN(M260)+U260/m*COS(M260)-Poids/m)</f>
        <v>48.784697794317047</v>
      </c>
      <c r="F261" s="304">
        <f t="shared" ref="F261:F324" ca="1" si="126">SQRT(acc_x^2+acc_z^2)</f>
        <v>49.194219591087496</v>
      </c>
      <c r="G261" s="306">
        <f t="shared" ref="G261:G324" ca="1" si="127">G260+acc_x*pas</f>
        <v>23.175462693026375</v>
      </c>
      <c r="H261" s="307">
        <f t="shared" ref="H261:H324" ca="1" si="128">H260+acc_z*pas</f>
        <v>214.28073326105849</v>
      </c>
      <c r="I261" s="304">
        <f t="shared" ref="I261:I324" ca="1" si="129">SQRT(vit_x^2+vit_z^2)</f>
        <v>215.53035683618387</v>
      </c>
      <c r="J261" s="306">
        <f t="shared" ref="J261:J324" ca="1" si="130">J260+0.5*(vit_x+G260)*pas*(K260&gt;=0)</f>
        <v>31.534207009602177</v>
      </c>
      <c r="K261" s="307">
        <f t="shared" ref="K261:K324" ca="1" si="131">K260+0.5*(vit_z+H260)*pas</f>
        <v>307.5791829101745</v>
      </c>
      <c r="L261" s="304">
        <f t="shared" ca="1" si="116"/>
        <v>309.19146167288483</v>
      </c>
      <c r="M261" s="306">
        <f t="shared" ref="M261:M324" ca="1" si="132">IF(AND(L260&gt;L_rampe,G261&gt;0),ATAN2(G261,H261),$M$4)</f>
        <v>1.4630604289701878</v>
      </c>
      <c r="N261" s="304">
        <f t="shared" ref="N261:N324" ca="1" si="133">DEGREES(Beta)</f>
        <v>83.827187752591527</v>
      </c>
      <c r="P261" s="310">
        <f t="shared" ref="P261:P324" ca="1" si="134">MATCH(t-pas/2-T_ini,CdP_t)</f>
        <v>7</v>
      </c>
      <c r="Q261" s="304">
        <f t="shared" ref="Q261:Q324" ca="1" si="135">(INDEX(CdP,2,i_P+1)-INDEX(CdP,2,i_P+0))/(INDEX(CdP,1,i_P+1)-INDEX(CdP,1,i_P+0))*(t-pas/2-T_ini-INDEX(CdP,1,i_P+0))+INDEX(CdP,2,i_P+0)</f>
        <v>499.72340425532133</v>
      </c>
      <c r="R261" s="306">
        <f t="shared" ref="R261:R324" ca="1" si="136">Poussee/(g*ISP)</f>
        <v>0.25078789362250076</v>
      </c>
      <c r="S261" s="307">
        <f t="shared" ref="S261:S324" ca="1" si="137">S260-Débit*pas</f>
        <v>6.3027619959358478</v>
      </c>
      <c r="T261" s="304">
        <f t="shared" ca="1" si="117"/>
        <v>61.83009518013067</v>
      </c>
      <c r="U261" s="311">
        <f t="shared" ca="1" si="118"/>
        <v>0</v>
      </c>
      <c r="V261" s="306">
        <f t="shared" ca="1" si="119"/>
        <v>1.1878922289878802</v>
      </c>
      <c r="W261" s="304">
        <f t="shared" ca="1" si="120"/>
        <v>128.82304227237017</v>
      </c>
      <c r="Y261" s="314" t="str">
        <f t="shared" ref="Y261:Y324" ca="1" si="138">IF(AND(pos_z&lt;=0,K260&gt;0),"Impact balistique","") &amp; IF(AND(H262&lt;0,vit_z&gt;=0),"Apogée","") &amp; IF(AND(Poussee=0,Q260&gt;0),"Fin de propulsion","") &amp; IF(AND(L262&gt;L_rampe,pos_xz&lt;=L_rampe),"Sortie de rampe","")</f>
        <v/>
      </c>
      <c r="Z261" s="315" t="str">
        <f t="shared" ref="Z261:Z324" ca="1" si="139">IF(ABS(t-T_para)&lt;pas/2,"Para","")</f>
        <v/>
      </c>
      <c r="AA261" s="316" t="str">
        <f t="shared" ref="AA261:AA324" ca="1" si="140">IF(ABS(t-T_satellite)&lt;pas/2,"Satellite","")</f>
        <v/>
      </c>
      <c r="AC261" s="310" t="e">
        <f t="shared" ref="AC261:AC324" ca="1" si="141">IF(ABS(t-ROUND(t,0))&lt;0.001,t,NA())</f>
        <v>#N/A</v>
      </c>
      <c r="AD261" s="323" t="e">
        <f t="shared" ref="AD261:AD324" ca="1" si="142">IF(ABS(t-ROUND(t,0))&lt;0.001,pos_x,NA())</f>
        <v>#N/A</v>
      </c>
      <c r="AE261" s="324">
        <f t="shared" ca="1" si="121"/>
        <v>307.5791829101745</v>
      </c>
      <c r="AG261" s="306">
        <f t="shared" ref="AG261:AG324" ca="1" si="143">IF(AND(L260&lt;L_rampe,Poussee&lt;Poids*SIN(M260)),0,(-W260+Poussee)/m-Poids*SIN(M260)/m)</f>
        <v>49.182919269719306</v>
      </c>
      <c r="AH261" s="304">
        <f t="shared" ref="AH261:AH324" ca="1" si="144">IF(AND(L260&lt;L_rampe,Poussee&lt;Poids*SIN(M260)), g*SIN(M260), (-W260+Poussee)/m)</f>
        <v>58.936093456392555</v>
      </c>
    </row>
    <row r="262" spans="1:34" x14ac:dyDescent="0.2">
      <c r="A262" s="347">
        <f t="shared" ca="1" si="122"/>
        <v>0.01</v>
      </c>
      <c r="B262" s="304">
        <f t="shared" ca="1" si="123"/>
        <v>2.579999999999989</v>
      </c>
      <c r="D262" s="306">
        <f t="shared" ca="1" si="124"/>
        <v>6.2953542575683237</v>
      </c>
      <c r="E262" s="307">
        <f t="shared" ca="1" si="125"/>
        <v>48.39695553387071</v>
      </c>
      <c r="F262" s="304">
        <f t="shared" ca="1" si="126"/>
        <v>48.804680002800367</v>
      </c>
      <c r="G262" s="306">
        <f t="shared" ca="1" si="127"/>
        <v>23.23841623560206</v>
      </c>
      <c r="H262" s="307">
        <f t="shared" ca="1" si="128"/>
        <v>214.7647028163972</v>
      </c>
      <c r="I262" s="304">
        <f t="shared" ca="1" si="129"/>
        <v>216.01828988526529</v>
      </c>
      <c r="J262" s="306">
        <f t="shared" ca="1" si="130"/>
        <v>31.766276404245318</v>
      </c>
      <c r="K262" s="307">
        <f t="shared" ca="1" si="131"/>
        <v>309.72441009056178</v>
      </c>
      <c r="L262" s="304">
        <f t="shared" ca="1" si="116"/>
        <v>311.3491713856605</v>
      </c>
      <c r="M262" s="306">
        <f t="shared" ca="1" si="132"/>
        <v>1.4630115976518479</v>
      </c>
      <c r="N262" s="304">
        <f t="shared" ca="1" si="133"/>
        <v>83.824389924142579</v>
      </c>
      <c r="P262" s="310">
        <f t="shared" ca="1" si="134"/>
        <v>7</v>
      </c>
      <c r="Q262" s="304">
        <f t="shared" ca="1" si="135"/>
        <v>497.68085106383205</v>
      </c>
      <c r="R262" s="306">
        <f t="shared" ca="1" si="136"/>
        <v>0.24976283134175997</v>
      </c>
      <c r="S262" s="307">
        <f t="shared" ca="1" si="137"/>
        <v>6.3002643676224306</v>
      </c>
      <c r="T262" s="304">
        <f t="shared" ca="1" si="117"/>
        <v>61.805593446376044</v>
      </c>
      <c r="U262" s="311">
        <f t="shared" ca="1" si="118"/>
        <v>0</v>
      </c>
      <c r="V262" s="306">
        <f t="shared" ca="1" si="119"/>
        <v>1.1876373657564321</v>
      </c>
      <c r="W262" s="304">
        <f t="shared" ca="1" si="120"/>
        <v>129.37921578176272</v>
      </c>
      <c r="Y262" s="314" t="str">
        <f t="shared" ca="1" si="138"/>
        <v/>
      </c>
      <c r="Z262" s="315" t="str">
        <f t="shared" ca="1" si="139"/>
        <v/>
      </c>
      <c r="AA262" s="316" t="str">
        <f t="shared" ca="1" si="140"/>
        <v/>
      </c>
      <c r="AC262" s="310" t="e">
        <f t="shared" ca="1" si="141"/>
        <v>#N/A</v>
      </c>
      <c r="AD262" s="323" t="e">
        <f t="shared" ca="1" si="142"/>
        <v>#N/A</v>
      </c>
      <c r="AE262" s="324">
        <f t="shared" ca="1" si="121"/>
        <v>309.72441009056178</v>
      </c>
      <c r="AG262" s="306">
        <f t="shared" ca="1" si="143"/>
        <v>48.793279153383679</v>
      </c>
      <c r="AH262" s="304">
        <f t="shared" ca="1" si="144"/>
        <v>58.546401748957088</v>
      </c>
    </row>
    <row r="263" spans="1:34" x14ac:dyDescent="0.2">
      <c r="A263" s="347">
        <f t="shared" ca="1" si="122"/>
        <v>0.01</v>
      </c>
      <c r="B263" s="304">
        <f t="shared" ca="1" si="123"/>
        <v>2.5899999999999888</v>
      </c>
      <c r="D263" s="306">
        <f t="shared" ca="1" si="124"/>
        <v>6.2562936877316542</v>
      </c>
      <c r="E263" s="307">
        <f t="shared" ca="1" si="125"/>
        <v>48.00939014068009</v>
      </c>
      <c r="F263" s="304">
        <f t="shared" ca="1" si="126"/>
        <v>48.415315266836608</v>
      </c>
      <c r="G263" s="306">
        <f t="shared" ca="1" si="127"/>
        <v>23.300979172479376</v>
      </c>
      <c r="H263" s="307">
        <f t="shared" ca="1" si="128"/>
        <v>215.24479671780401</v>
      </c>
      <c r="I263" s="304">
        <f t="shared" ca="1" si="129"/>
        <v>216.50232826573736</v>
      </c>
      <c r="J263" s="306">
        <f t="shared" ca="1" si="130"/>
        <v>31.998973381285726</v>
      </c>
      <c r="K263" s="307">
        <f t="shared" ca="1" si="131"/>
        <v>311.87445758823276</v>
      </c>
      <c r="L263" s="304">
        <f t="shared" ca="1" si="116"/>
        <v>313.51174075847723</v>
      </c>
      <c r="M263" s="306">
        <f t="shared" ca="1" si="132"/>
        <v>1.462962853508859</v>
      </c>
      <c r="N263" s="304">
        <f t="shared" ca="1" si="133"/>
        <v>83.821597090473347</v>
      </c>
      <c r="P263" s="310">
        <f t="shared" ca="1" si="134"/>
        <v>7</v>
      </c>
      <c r="Q263" s="304">
        <f t="shared" ca="1" si="135"/>
        <v>495.63829787234272</v>
      </c>
      <c r="R263" s="306">
        <f t="shared" ca="1" si="136"/>
        <v>0.24873776906101916</v>
      </c>
      <c r="S263" s="307">
        <f t="shared" ca="1" si="137"/>
        <v>6.2977769899318208</v>
      </c>
      <c r="T263" s="304">
        <f t="shared" ca="1" si="117"/>
        <v>61.781192271231163</v>
      </c>
      <c r="U263" s="311">
        <f t="shared" ca="1" si="118"/>
        <v>0</v>
      </c>
      <c r="V263" s="306">
        <f t="shared" ca="1" si="119"/>
        <v>1.1873819838643342</v>
      </c>
      <c r="W263" s="304">
        <f t="shared" ca="1" si="120"/>
        <v>129.93172712839436</v>
      </c>
      <c r="Y263" s="314" t="str">
        <f t="shared" ca="1" si="138"/>
        <v/>
      </c>
      <c r="Z263" s="315" t="str">
        <f t="shared" ca="1" si="139"/>
        <v/>
      </c>
      <c r="AA263" s="316" t="str">
        <f t="shared" ca="1" si="140"/>
        <v/>
      </c>
      <c r="AC263" s="310" t="e">
        <f t="shared" ca="1" si="141"/>
        <v>#N/A</v>
      </c>
      <c r="AD263" s="323" t="e">
        <f t="shared" ca="1" si="142"/>
        <v>#N/A</v>
      </c>
      <c r="AE263" s="324">
        <f t="shared" ca="1" si="121"/>
        <v>311.87445758823276</v>
      </c>
      <c r="AG263" s="306">
        <f t="shared" ca="1" si="143"/>
        <v>48.403812326821516</v>
      </c>
      <c r="AH263" s="304">
        <f t="shared" ca="1" si="144"/>
        <v>58.156883401256337</v>
      </c>
    </row>
    <row r="264" spans="1:34" x14ac:dyDescent="0.2">
      <c r="A264" s="347">
        <f t="shared" ca="1" si="122"/>
        <v>0.01</v>
      </c>
      <c r="B264" s="304">
        <f t="shared" ca="1" si="123"/>
        <v>2.5999999999999885</v>
      </c>
      <c r="D264" s="306">
        <f t="shared" ca="1" si="124"/>
        <v>6.2172096327317661</v>
      </c>
      <c r="E264" s="307">
        <f t="shared" ca="1" si="125"/>
        <v>47.622008056120073</v>
      </c>
      <c r="F264" s="304">
        <f t="shared" ca="1" si="126"/>
        <v>48.02613191705634</v>
      </c>
      <c r="G264" s="306">
        <f t="shared" ca="1" si="127"/>
        <v>23.363151268806693</v>
      </c>
      <c r="H264" s="307">
        <f t="shared" ca="1" si="128"/>
        <v>215.72101679836521</v>
      </c>
      <c r="I264" s="304">
        <f t="shared" ca="1" si="129"/>
        <v>216.98247377548654</v>
      </c>
      <c r="J264" s="306">
        <f t="shared" ca="1" si="130"/>
        <v>32.23229403349216</v>
      </c>
      <c r="K264" s="307">
        <f t="shared" ca="1" si="131"/>
        <v>314.02928665581362</v>
      </c>
      <c r="L264" s="304">
        <f t="shared" ca="1" si="116"/>
        <v>315.67913085318241</v>
      </c>
      <c r="M264" s="306">
        <f t="shared" ca="1" si="132"/>
        <v>1.4629141953186326</v>
      </c>
      <c r="N264" s="304">
        <f t="shared" ca="1" si="133"/>
        <v>83.818809181534618</v>
      </c>
      <c r="P264" s="310">
        <f t="shared" ca="1" si="134"/>
        <v>7</v>
      </c>
      <c r="Q264" s="304">
        <f t="shared" ca="1" si="135"/>
        <v>493.59574468085339</v>
      </c>
      <c r="R264" s="306">
        <f t="shared" ca="1" si="136"/>
        <v>0.24771270678027832</v>
      </c>
      <c r="S264" s="307">
        <f t="shared" ca="1" si="137"/>
        <v>6.2952998628640184</v>
      </c>
      <c r="T264" s="304">
        <f t="shared" ca="1" si="117"/>
        <v>61.756891654696027</v>
      </c>
      <c r="U264" s="311">
        <f t="shared" ca="1" si="118"/>
        <v>0</v>
      </c>
      <c r="V264" s="306">
        <f t="shared" ca="1" si="119"/>
        <v>1.1871260882590076</v>
      </c>
      <c r="W264" s="304">
        <f t="shared" ca="1" si="120"/>
        <v>130.48054907537878</v>
      </c>
      <c r="Y264" s="314" t="str">
        <f t="shared" ca="1" si="138"/>
        <v/>
      </c>
      <c r="Z264" s="315" t="str">
        <f t="shared" ca="1" si="139"/>
        <v/>
      </c>
      <c r="AA264" s="316" t="str">
        <f t="shared" ca="1" si="140"/>
        <v/>
      </c>
      <c r="AC264" s="310" t="e">
        <f t="shared" ca="1" si="141"/>
        <v>#N/A</v>
      </c>
      <c r="AD264" s="323" t="e">
        <f t="shared" ca="1" si="142"/>
        <v>#N/A</v>
      </c>
      <c r="AE264" s="324">
        <f t="shared" ca="1" si="121"/>
        <v>314.02928665581362</v>
      </c>
      <c r="AG264" s="306">
        <f t="shared" ca="1" si="143"/>
        <v>48.014525288324656</v>
      </c>
      <c r="AH264" s="304">
        <f t="shared" ca="1" si="144"/>
        <v>57.767544910404268</v>
      </c>
    </row>
    <row r="265" spans="1:34" x14ac:dyDescent="0.2">
      <c r="A265" s="347">
        <f t="shared" ca="1" si="122"/>
        <v>0.01</v>
      </c>
      <c r="B265" s="304">
        <f t="shared" ca="1" si="123"/>
        <v>2.6099999999999883</v>
      </c>
      <c r="D265" s="306">
        <f t="shared" ca="1" si="124"/>
        <v>6.1781029838266743</v>
      </c>
      <c r="E265" s="307">
        <f t="shared" ca="1" si="125"/>
        <v>47.234815668146659</v>
      </c>
      <c r="F265" s="304">
        <f t="shared" ca="1" si="126"/>
        <v>47.63713643453562</v>
      </c>
      <c r="G265" s="306">
        <f t="shared" ca="1" si="127"/>
        <v>23.424932298644958</v>
      </c>
      <c r="H265" s="307">
        <f t="shared" ca="1" si="128"/>
        <v>216.19336495504669</v>
      </c>
      <c r="I265" s="304">
        <f t="shared" ca="1" si="129"/>
        <v>217.45872827684363</v>
      </c>
      <c r="J265" s="306">
        <f t="shared" ca="1" si="130"/>
        <v>32.46623445132942</v>
      </c>
      <c r="K265" s="307">
        <f t="shared" ca="1" si="131"/>
        <v>316.1888585645807</v>
      </c>
      <c r="L265" s="304">
        <f t="shared" ca="1" si="116"/>
        <v>317.85130274991968</v>
      </c>
      <c r="M265" s="306">
        <f t="shared" ca="1" si="132"/>
        <v>1.4628656218711615</v>
      </c>
      <c r="N265" s="304">
        <f t="shared" ca="1" si="133"/>
        <v>83.816026127998128</v>
      </c>
      <c r="P265" s="310">
        <f t="shared" ca="1" si="134"/>
        <v>7</v>
      </c>
      <c r="Q265" s="304">
        <f t="shared" ca="1" si="135"/>
        <v>491.55319148936405</v>
      </c>
      <c r="R265" s="306">
        <f t="shared" ca="1" si="136"/>
        <v>0.24668764449953751</v>
      </c>
      <c r="S265" s="307">
        <f t="shared" ca="1" si="137"/>
        <v>6.2928329864190227</v>
      </c>
      <c r="T265" s="304">
        <f t="shared" ca="1" si="117"/>
        <v>61.732691596770614</v>
      </c>
      <c r="U265" s="311">
        <f t="shared" ca="1" si="118"/>
        <v>0</v>
      </c>
      <c r="V265" s="306">
        <f t="shared" ca="1" si="119"/>
        <v>1.1868696838823367</v>
      </c>
      <c r="W265" s="304">
        <f t="shared" ca="1" si="120"/>
        <v>131.02565477759595</v>
      </c>
      <c r="Y265" s="314" t="str">
        <f t="shared" ca="1" si="138"/>
        <v/>
      </c>
      <c r="Z265" s="315" t="str">
        <f t="shared" ca="1" si="139"/>
        <v/>
      </c>
      <c r="AA265" s="316" t="str">
        <f t="shared" ca="1" si="140"/>
        <v/>
      </c>
      <c r="AC265" s="310" t="e">
        <f t="shared" ca="1" si="141"/>
        <v>#N/A</v>
      </c>
      <c r="AD265" s="323" t="e">
        <f t="shared" ca="1" si="142"/>
        <v>#N/A</v>
      </c>
      <c r="AE265" s="324">
        <f t="shared" ca="1" si="121"/>
        <v>316.1888585645807</v>
      </c>
      <c r="AG265" s="306">
        <f t="shared" ca="1" si="143"/>
        <v>47.625424482319744</v>
      </c>
      <c r="AH265" s="304">
        <f t="shared" ca="1" si="144"/>
        <v>57.378392719660589</v>
      </c>
    </row>
    <row r="266" spans="1:34" x14ac:dyDescent="0.2">
      <c r="A266" s="347">
        <f t="shared" ca="1" si="122"/>
        <v>0.01</v>
      </c>
      <c r="B266" s="304">
        <f t="shared" ca="1" si="123"/>
        <v>2.6199999999999881</v>
      </c>
      <c r="D266" s="306">
        <f t="shared" ca="1" si="124"/>
        <v>6.1389746250035975</v>
      </c>
      <c r="E266" s="307">
        <f t="shared" ca="1" si="125"/>
        <v>46.847819311176735</v>
      </c>
      <c r="F266" s="304">
        <f t="shared" ca="1" si="126"/>
        <v>47.248335247488903</v>
      </c>
      <c r="G266" s="306">
        <f t="shared" ca="1" si="127"/>
        <v>23.486322044894994</v>
      </c>
      <c r="H266" s="307">
        <f t="shared" ca="1" si="128"/>
        <v>216.66184314815845</v>
      </c>
      <c r="I266" s="304">
        <f t="shared" ca="1" si="129"/>
        <v>217.9310936960436</v>
      </c>
      <c r="J266" s="306">
        <f t="shared" ca="1" si="130"/>
        <v>32.70079072304712</v>
      </c>
      <c r="K266" s="307">
        <f t="shared" ca="1" si="131"/>
        <v>318.35313460509673</v>
      </c>
      <c r="L266" s="304">
        <f t="shared" ca="1" si="116"/>
        <v>320.02821754777085</v>
      </c>
      <c r="M266" s="306">
        <f t="shared" ca="1" si="132"/>
        <v>1.462817131968797</v>
      </c>
      <c r="N266" s="304">
        <f t="shared" ca="1" si="133"/>
        <v>83.813247861243639</v>
      </c>
      <c r="P266" s="310">
        <f t="shared" ca="1" si="134"/>
        <v>7</v>
      </c>
      <c r="Q266" s="304">
        <f t="shared" ca="1" si="135"/>
        <v>489.51063829787478</v>
      </c>
      <c r="R266" s="306">
        <f t="shared" ca="1" si="136"/>
        <v>0.24566258221879672</v>
      </c>
      <c r="S266" s="307">
        <f t="shared" ca="1" si="137"/>
        <v>6.2903763605968344</v>
      </c>
      <c r="T266" s="304">
        <f t="shared" ca="1" si="117"/>
        <v>61.708592097454947</v>
      </c>
      <c r="U266" s="311">
        <f t="shared" ca="1" si="118"/>
        <v>0</v>
      </c>
      <c r="V266" s="306">
        <f t="shared" ca="1" si="119"/>
        <v>1.1866127756705791</v>
      </c>
      <c r="W266" s="304">
        <f t="shared" ca="1" si="120"/>
        <v>131.56701778107848</v>
      </c>
      <c r="Y266" s="314" t="str">
        <f t="shared" ca="1" si="138"/>
        <v/>
      </c>
      <c r="Z266" s="315" t="str">
        <f t="shared" ca="1" si="139"/>
        <v/>
      </c>
      <c r="AA266" s="316" t="str">
        <f t="shared" ca="1" si="140"/>
        <v/>
      </c>
      <c r="AC266" s="310" t="e">
        <f t="shared" ca="1" si="141"/>
        <v>#N/A</v>
      </c>
      <c r="AD266" s="323" t="e">
        <f t="shared" ca="1" si="142"/>
        <v>#N/A</v>
      </c>
      <c r="AE266" s="324">
        <f t="shared" ca="1" si="121"/>
        <v>318.35313460509673</v>
      </c>
      <c r="AG266" s="306">
        <f t="shared" ca="1" si="143"/>
        <v>47.236516299249189</v>
      </c>
      <c r="AH266" s="304">
        <f t="shared" ca="1" si="144"/>
        <v>56.989433218311532</v>
      </c>
    </row>
    <row r="267" spans="1:34" x14ac:dyDescent="0.2">
      <c r="A267" s="347">
        <f t="shared" ca="1" si="122"/>
        <v>0.01</v>
      </c>
      <c r="B267" s="304">
        <f t="shared" ca="1" si="123"/>
        <v>2.6299999999999879</v>
      </c>
      <c r="D267" s="306">
        <f t="shared" ca="1" si="124"/>
        <v>6.0998254329875756</v>
      </c>
      <c r="E267" s="307">
        <f t="shared" ca="1" si="125"/>
        <v>46.461025265974627</v>
      </c>
      <c r="F267" s="304">
        <f t="shared" ca="1" si="126"/>
        <v>46.859734731200241</v>
      </c>
      <c r="G267" s="306">
        <f t="shared" ca="1" si="127"/>
        <v>23.547320299224868</v>
      </c>
      <c r="H267" s="307">
        <f t="shared" ca="1" si="128"/>
        <v>217.12645340081821</v>
      </c>
      <c r="I267" s="304">
        <f t="shared" ca="1" si="129"/>
        <v>218.39957202268499</v>
      </c>
      <c r="J267" s="306">
        <f t="shared" ca="1" si="130"/>
        <v>32.935958934767719</v>
      </c>
      <c r="K267" s="307">
        <f t="shared" ca="1" si="131"/>
        <v>320.52207608784158</v>
      </c>
      <c r="L267" s="304">
        <f t="shared" ca="1" si="116"/>
        <v>322.20983636539216</v>
      </c>
      <c r="M267" s="306">
        <f t="shared" ca="1" si="132"/>
        <v>1.4627687244260299</v>
      </c>
      <c r="N267" s="304">
        <f t="shared" ca="1" si="133"/>
        <v>83.810474313346489</v>
      </c>
      <c r="P267" s="310">
        <f t="shared" ca="1" si="134"/>
        <v>7</v>
      </c>
      <c r="Q267" s="304">
        <f t="shared" ca="1" si="135"/>
        <v>487.46808510638544</v>
      </c>
      <c r="R267" s="306">
        <f t="shared" ca="1" si="136"/>
        <v>0.24463751993805591</v>
      </c>
      <c r="S267" s="307">
        <f t="shared" ca="1" si="137"/>
        <v>6.2879299853974535</v>
      </c>
      <c r="T267" s="304">
        <f t="shared" ca="1" si="117"/>
        <v>61.684593156749024</v>
      </c>
      <c r="U267" s="311">
        <f t="shared" ca="1" si="118"/>
        <v>0</v>
      </c>
      <c r="V267" s="306">
        <f t="shared" ca="1" si="119"/>
        <v>1.1863553685542714</v>
      </c>
      <c r="W267" s="304">
        <f t="shared" ca="1" si="120"/>
        <v>132.10461202236394</v>
      </c>
      <c r="Y267" s="314" t="str">
        <f t="shared" ca="1" si="138"/>
        <v/>
      </c>
      <c r="Z267" s="315" t="str">
        <f t="shared" ca="1" si="139"/>
        <v/>
      </c>
      <c r="AA267" s="316" t="str">
        <f t="shared" ca="1" si="140"/>
        <v/>
      </c>
      <c r="AC267" s="310" t="e">
        <f t="shared" ca="1" si="141"/>
        <v>#N/A</v>
      </c>
      <c r="AD267" s="323" t="e">
        <f t="shared" ca="1" si="142"/>
        <v>#N/A</v>
      </c>
      <c r="AE267" s="324">
        <f t="shared" ca="1" si="121"/>
        <v>320.52207608784158</v>
      </c>
      <c r="AG267" s="306">
        <f t="shared" ca="1" si="143"/>
        <v>46.847807075458903</v>
      </c>
      <c r="AH267" s="304">
        <f t="shared" ca="1" si="144"/>
        <v>56.600672741557382</v>
      </c>
    </row>
    <row r="268" spans="1:34" x14ac:dyDescent="0.2">
      <c r="A268" s="347">
        <f t="shared" ca="1" si="122"/>
        <v>0.01</v>
      </c>
      <c r="B268" s="304">
        <f t="shared" ca="1" si="123"/>
        <v>2.6399999999999877</v>
      </c>
      <c r="D268" s="306">
        <f t="shared" ca="1" si="124"/>
        <v>6.0606562772502368</v>
      </c>
      <c r="E268" s="307">
        <f t="shared" ca="1" si="125"/>
        <v>46.074439759545236</v>
      </c>
      <c r="F268" s="304">
        <f t="shared" ca="1" si="126"/>
        <v>46.471341207963164</v>
      </c>
      <c r="G268" s="306">
        <f t="shared" ca="1" si="127"/>
        <v>23.60792686199737</v>
      </c>
      <c r="H268" s="307">
        <f t="shared" ca="1" si="128"/>
        <v>217.58719779841365</v>
      </c>
      <c r="I268" s="304">
        <f t="shared" ca="1" si="129"/>
        <v>218.86416530918763</v>
      </c>
      <c r="J268" s="306">
        <f t="shared" ca="1" si="130"/>
        <v>33.171735170573832</v>
      </c>
      <c r="K268" s="307">
        <f t="shared" ca="1" si="131"/>
        <v>322.69564434383773</v>
      </c>
      <c r="L268" s="304">
        <f t="shared" ca="1" si="116"/>
        <v>324.39612034164543</v>
      </c>
      <c r="M268" s="306">
        <f t="shared" ca="1" si="132"/>
        <v>1.4627203980692769</v>
      </c>
      <c r="N268" s="304">
        <f t="shared" ca="1" si="133"/>
        <v>83.807705417065293</v>
      </c>
      <c r="P268" s="310">
        <f t="shared" ca="1" si="134"/>
        <v>7</v>
      </c>
      <c r="Q268" s="304">
        <f t="shared" ca="1" si="135"/>
        <v>485.42553191489611</v>
      </c>
      <c r="R268" s="306">
        <f t="shared" ca="1" si="136"/>
        <v>0.24361245765731507</v>
      </c>
      <c r="S268" s="307">
        <f t="shared" ca="1" si="137"/>
        <v>6.2854938608208801</v>
      </c>
      <c r="T268" s="304">
        <f t="shared" ca="1" si="117"/>
        <v>61.660694774652839</v>
      </c>
      <c r="U268" s="311">
        <f t="shared" ca="1" si="118"/>
        <v>0</v>
      </c>
      <c r="V268" s="306">
        <f t="shared" ca="1" si="119"/>
        <v>1.1860974674581399</v>
      </c>
      <c r="W268" s="304">
        <f t="shared" ca="1" si="120"/>
        <v>132.63841182781269</v>
      </c>
      <c r="Y268" s="314" t="str">
        <f t="shared" ca="1" si="138"/>
        <v/>
      </c>
      <c r="Z268" s="315" t="str">
        <f t="shared" ca="1" si="139"/>
        <v/>
      </c>
      <c r="AA268" s="316" t="str">
        <f t="shared" ca="1" si="140"/>
        <v/>
      </c>
      <c r="AC268" s="310" t="e">
        <f t="shared" ca="1" si="141"/>
        <v>#N/A</v>
      </c>
      <c r="AD268" s="323" t="e">
        <f t="shared" ca="1" si="142"/>
        <v>#N/A</v>
      </c>
      <c r="AE268" s="324">
        <f t="shared" ca="1" si="121"/>
        <v>322.69564434383773</v>
      </c>
      <c r="AG268" s="306">
        <f t="shared" ca="1" si="143"/>
        <v>46.459303093092579</v>
      </c>
      <c r="AH268" s="304">
        <f t="shared" ca="1" si="144"/>
        <v>56.212117570406591</v>
      </c>
    </row>
    <row r="269" spans="1:34" x14ac:dyDescent="0.2">
      <c r="A269" s="347">
        <f t="shared" ca="1" si="122"/>
        <v>0.01</v>
      </c>
      <c r="B269" s="304">
        <f t="shared" ca="1" si="123"/>
        <v>2.6499999999999875</v>
      </c>
      <c r="D269" s="306">
        <f t="shared" ca="1" si="124"/>
        <v>6.0214680200185624</v>
      </c>
      <c r="E269" s="307">
        <f t="shared" ca="1" si="125"/>
        <v>45.688068965033665</v>
      </c>
      <c r="F269" s="304">
        <f t="shared" ca="1" si="126"/>
        <v>46.083160947028993</v>
      </c>
      <c r="G269" s="306">
        <f t="shared" ca="1" si="127"/>
        <v>23.668141542197557</v>
      </c>
      <c r="H269" s="307">
        <f t="shared" ca="1" si="128"/>
        <v>218.044078488064</v>
      </c>
      <c r="I269" s="304">
        <f t="shared" ca="1" si="129"/>
        <v>219.32487567024975</v>
      </c>
      <c r="J269" s="306">
        <f t="shared" ca="1" si="130"/>
        <v>33.408115512594804</v>
      </c>
      <c r="K269" s="307">
        <f t="shared" ca="1" si="131"/>
        <v>324.87380072527014</v>
      </c>
      <c r="L269" s="304">
        <f t="shared" ca="1" si="116"/>
        <v>326.58703063622323</v>
      </c>
      <c r="M269" s="306">
        <f t="shared" ca="1" si="132"/>
        <v>1.4626721517366692</v>
      </c>
      <c r="N269" s="304">
        <f t="shared" ca="1" si="133"/>
        <v>83.804941105829883</v>
      </c>
      <c r="P269" s="310">
        <f t="shared" ca="1" si="134"/>
        <v>7</v>
      </c>
      <c r="Q269" s="304">
        <f t="shared" ca="1" si="135"/>
        <v>483.38297872340678</v>
      </c>
      <c r="R269" s="306">
        <f t="shared" ca="1" si="136"/>
        <v>0.24258739537657426</v>
      </c>
      <c r="S269" s="307">
        <f t="shared" ca="1" si="137"/>
        <v>6.2830679868671142</v>
      </c>
      <c r="T269" s="304">
        <f t="shared" ca="1" si="117"/>
        <v>61.636896951166392</v>
      </c>
      <c r="U269" s="311">
        <f t="shared" ca="1" si="118"/>
        <v>0</v>
      </c>
      <c r="V269" s="306">
        <f t="shared" ca="1" si="119"/>
        <v>1.185839077301011</v>
      </c>
      <c r="W269" s="304">
        <f t="shared" ca="1" si="120"/>
        <v>133.16839191289188</v>
      </c>
      <c r="Y269" s="314" t="str">
        <f t="shared" ca="1" si="138"/>
        <v/>
      </c>
      <c r="Z269" s="315" t="str">
        <f t="shared" ca="1" si="139"/>
        <v/>
      </c>
      <c r="AA269" s="316" t="str">
        <f t="shared" ca="1" si="140"/>
        <v/>
      </c>
      <c r="AC269" s="310" t="e">
        <f t="shared" ca="1" si="141"/>
        <v>#N/A</v>
      </c>
      <c r="AD269" s="323" t="e">
        <f t="shared" ca="1" si="142"/>
        <v>#N/A</v>
      </c>
      <c r="AE269" s="324">
        <f t="shared" ca="1" si="121"/>
        <v>324.87380072527014</v>
      </c>
      <c r="AG269" s="306">
        <f t="shared" ca="1" si="143"/>
        <v>46.071010579992446</v>
      </c>
      <c r="AH269" s="304">
        <f t="shared" ca="1" si="144"/>
        <v>55.823773931576312</v>
      </c>
    </row>
    <row r="270" spans="1:34" x14ac:dyDescent="0.2">
      <c r="A270" s="347">
        <f t="shared" ca="1" si="122"/>
        <v>0.01</v>
      </c>
      <c r="B270" s="304">
        <f t="shared" ca="1" si="123"/>
        <v>2.6599999999999873</v>
      </c>
      <c r="D270" s="306">
        <f t="shared" ca="1" si="124"/>
        <v>5.9822615162839243</v>
      </c>
      <c r="E270" s="307">
        <f t="shared" ca="1" si="125"/>
        <v>45.301919001631333</v>
      </c>
      <c r="F270" s="304">
        <f t="shared" ca="1" si="126"/>
        <v>45.695200164564085</v>
      </c>
      <c r="G270" s="306">
        <f t="shared" ca="1" si="127"/>
        <v>23.727964157360397</v>
      </c>
      <c r="H270" s="307">
        <f t="shared" ca="1" si="128"/>
        <v>218.49709767808031</v>
      </c>
      <c r="I270" s="304">
        <f t="shared" ca="1" si="129"/>
        <v>219.78170528230402</v>
      </c>
      <c r="J270" s="306">
        <f t="shared" ca="1" si="130"/>
        <v>33.645096041092593</v>
      </c>
      <c r="K270" s="307">
        <f t="shared" ca="1" si="131"/>
        <v>327.05650660610087</v>
      </c>
      <c r="L270" s="304">
        <f t="shared" ca="1" si="116"/>
        <v>328.78252843026934</v>
      </c>
      <c r="M270" s="306">
        <f t="shared" ca="1" si="132"/>
        <v>1.462623984277847</v>
      </c>
      <c r="N270" s="304">
        <f t="shared" ca="1" si="133"/>
        <v>83.802181313729506</v>
      </c>
      <c r="P270" s="310">
        <f t="shared" ca="1" si="134"/>
        <v>7</v>
      </c>
      <c r="Q270" s="304">
        <f t="shared" ca="1" si="135"/>
        <v>481.3404255319175</v>
      </c>
      <c r="R270" s="306">
        <f t="shared" ca="1" si="136"/>
        <v>0.24156233309583347</v>
      </c>
      <c r="S270" s="307">
        <f t="shared" ca="1" si="137"/>
        <v>6.2806523635361557</v>
      </c>
      <c r="T270" s="304">
        <f t="shared" ca="1" si="117"/>
        <v>61.61319968628969</v>
      </c>
      <c r="U270" s="311">
        <f t="shared" ca="1" si="118"/>
        <v>0</v>
      </c>
      <c r="V270" s="306">
        <f t="shared" ca="1" si="119"/>
        <v>1.1855802029957196</v>
      </c>
      <c r="W270" s="304">
        <f t="shared" ca="1" si="120"/>
        <v>133.69452738142593</v>
      </c>
      <c r="Y270" s="314" t="str">
        <f t="shared" ca="1" si="138"/>
        <v/>
      </c>
      <c r="Z270" s="315" t="str">
        <f t="shared" ca="1" si="139"/>
        <v/>
      </c>
      <c r="AA270" s="316" t="str">
        <f t="shared" ca="1" si="140"/>
        <v/>
      </c>
      <c r="AC270" s="310" t="e">
        <f t="shared" ca="1" si="141"/>
        <v>#N/A</v>
      </c>
      <c r="AD270" s="323" t="e">
        <f t="shared" ca="1" si="142"/>
        <v>#N/A</v>
      </c>
      <c r="AE270" s="324">
        <f t="shared" ca="1" si="121"/>
        <v>327.05650660610087</v>
      </c>
      <c r="AG270" s="306">
        <f t="shared" ca="1" si="143"/>
        <v>45.682935709606554</v>
      </c>
      <c r="AH270" s="304">
        <f t="shared" ca="1" si="144"/>
        <v>55.435647997399514</v>
      </c>
    </row>
    <row r="271" spans="1:34" x14ac:dyDescent="0.2">
      <c r="A271" s="347">
        <f t="shared" ca="1" si="122"/>
        <v>0.01</v>
      </c>
      <c r="B271" s="304">
        <f t="shared" ca="1" si="123"/>
        <v>2.6699999999999871</v>
      </c>
      <c r="D271" s="306">
        <f t="shared" ca="1" si="124"/>
        <v>5.9430376138111258</v>
      </c>
      <c r="E271" s="307">
        <f t="shared" ca="1" si="125"/>
        <v>44.915995934488599</v>
      </c>
      <c r="F271" s="304">
        <f t="shared" ca="1" si="126"/>
        <v>45.307465023615812</v>
      </c>
      <c r="G271" s="306">
        <f t="shared" ca="1" si="127"/>
        <v>23.787394533498507</v>
      </c>
      <c r="H271" s="307">
        <f t="shared" ca="1" si="128"/>
        <v>218.94625763742519</v>
      </c>
      <c r="I271" s="304">
        <f t="shared" ca="1" si="129"/>
        <v>220.23465638297276</v>
      </c>
      <c r="J271" s="306">
        <f t="shared" ca="1" si="130"/>
        <v>33.882672834546888</v>
      </c>
      <c r="K271" s="307">
        <f t="shared" ca="1" si="131"/>
        <v>329.24372338267841</v>
      </c>
      <c r="L271" s="304">
        <f t="shared" ca="1" si="116"/>
        <v>330.9825749269931</v>
      </c>
      <c r="M271" s="306">
        <f t="shared" ca="1" si="132"/>
        <v>1.4625758945537572</v>
      </c>
      <c r="N271" s="304">
        <f t="shared" ca="1" si="133"/>
        <v>83.799425975501222</v>
      </c>
      <c r="P271" s="310">
        <f t="shared" ca="1" si="134"/>
        <v>7</v>
      </c>
      <c r="Q271" s="304">
        <f t="shared" ca="1" si="135"/>
        <v>479.29787234042817</v>
      </c>
      <c r="R271" s="306">
        <f t="shared" ca="1" si="136"/>
        <v>0.24053727081509266</v>
      </c>
      <c r="S271" s="307">
        <f t="shared" ca="1" si="137"/>
        <v>6.2782469908280047</v>
      </c>
      <c r="T271" s="304">
        <f t="shared" ca="1" si="117"/>
        <v>61.589602980022732</v>
      </c>
      <c r="U271" s="311">
        <f t="shared" ca="1" si="118"/>
        <v>0</v>
      </c>
      <c r="V271" s="306">
        <f t="shared" ca="1" si="119"/>
        <v>1.185320849449025</v>
      </c>
      <c r="W271" s="304">
        <f t="shared" ca="1" si="120"/>
        <v>134.21679372481461</v>
      </c>
      <c r="Y271" s="314" t="str">
        <f t="shared" ca="1" si="138"/>
        <v/>
      </c>
      <c r="Z271" s="315" t="str">
        <f t="shared" ca="1" si="139"/>
        <v/>
      </c>
      <c r="AA271" s="316" t="str">
        <f t="shared" ca="1" si="140"/>
        <v/>
      </c>
      <c r="AC271" s="310" t="e">
        <f t="shared" ca="1" si="141"/>
        <v>#N/A</v>
      </c>
      <c r="AD271" s="323" t="e">
        <f t="shared" ca="1" si="142"/>
        <v>#N/A</v>
      </c>
      <c r="AE271" s="324">
        <f t="shared" ca="1" si="121"/>
        <v>329.24372338267841</v>
      </c>
      <c r="AG271" s="306">
        <f t="shared" ca="1" si="143"/>
        <v>45.295084600902449</v>
      </c>
      <c r="AH271" s="304">
        <f t="shared" ca="1" si="144"/>
        <v>55.047745885738472</v>
      </c>
    </row>
    <row r="272" spans="1:34" x14ac:dyDescent="0.2">
      <c r="A272" s="347">
        <f t="shared" ca="1" si="122"/>
        <v>0.01</v>
      </c>
      <c r="B272" s="304">
        <f t="shared" ca="1" si="123"/>
        <v>2.6799999999999868</v>
      </c>
      <c r="D272" s="306">
        <f t="shared" ca="1" si="124"/>
        <v>5.9037971531476323</v>
      </c>
      <c r="E272" s="307">
        <f t="shared" ca="1" si="125"/>
        <v>44.530305774633717</v>
      </c>
      <c r="F272" s="304">
        <f t="shared" ca="1" si="126"/>
        <v>44.919961634087478</v>
      </c>
      <c r="G272" s="306">
        <f t="shared" ca="1" si="127"/>
        <v>23.846432505029984</v>
      </c>
      <c r="H272" s="307">
        <f t="shared" ca="1" si="128"/>
        <v>219.39156069517153</v>
      </c>
      <c r="I272" s="304">
        <f t="shared" ca="1" si="129"/>
        <v>220.68373127052226</v>
      </c>
      <c r="J272" s="306">
        <f t="shared" ca="1" si="130"/>
        <v>34.12084196973953</v>
      </c>
      <c r="K272" s="307">
        <f t="shared" ca="1" si="131"/>
        <v>331.43541247434138</v>
      </c>
      <c r="L272" s="304">
        <f t="shared" ca="1" si="116"/>
        <v>333.18713135227887</v>
      </c>
      <c r="M272" s="306">
        <f t="shared" ca="1" si="132"/>
        <v>1.4625278814364555</v>
      </c>
      <c r="N272" s="304">
        <f t="shared" ca="1" si="133"/>
        <v>83.796675026518557</v>
      </c>
      <c r="P272" s="310">
        <f t="shared" ca="1" si="134"/>
        <v>7</v>
      </c>
      <c r="Q272" s="304">
        <f t="shared" ca="1" si="135"/>
        <v>477.25531914893884</v>
      </c>
      <c r="R272" s="306">
        <f t="shared" ca="1" si="136"/>
        <v>0.23951220853435182</v>
      </c>
      <c r="S272" s="307">
        <f t="shared" ca="1" si="137"/>
        <v>6.2758518687426612</v>
      </c>
      <c r="T272" s="304">
        <f t="shared" ca="1" si="117"/>
        <v>61.566106832365513</v>
      </c>
      <c r="U272" s="311">
        <f t="shared" ca="1" si="118"/>
        <v>0</v>
      </c>
      <c r="V272" s="306">
        <f t="shared" ca="1" si="119"/>
        <v>1.1850610215615214</v>
      </c>
      <c r="W272" s="304">
        <f t="shared" ca="1" si="120"/>
        <v>134.73516682121803</v>
      </c>
      <c r="Y272" s="314" t="str">
        <f t="shared" ca="1" si="138"/>
        <v/>
      </c>
      <c r="Z272" s="315" t="str">
        <f t="shared" ca="1" si="139"/>
        <v/>
      </c>
      <c r="AA272" s="316" t="str">
        <f t="shared" ca="1" si="140"/>
        <v/>
      </c>
      <c r="AC272" s="310" t="e">
        <f t="shared" ca="1" si="141"/>
        <v>#N/A</v>
      </c>
      <c r="AD272" s="323" t="e">
        <f t="shared" ca="1" si="142"/>
        <v>#N/A</v>
      </c>
      <c r="AE272" s="324">
        <f t="shared" ca="1" si="121"/>
        <v>331.43541247434138</v>
      </c>
      <c r="AG272" s="306">
        <f t="shared" ca="1" si="143"/>
        <v>44.907463318287242</v>
      </c>
      <c r="AH272" s="304">
        <f t="shared" ca="1" si="144"/>
        <v>54.660073659904675</v>
      </c>
    </row>
    <row r="273" spans="1:34" x14ac:dyDescent="0.2">
      <c r="A273" s="347">
        <f t="shared" ca="1" si="122"/>
        <v>0.01</v>
      </c>
      <c r="B273" s="304">
        <f t="shared" ca="1" si="123"/>
        <v>2.6899999999999866</v>
      </c>
      <c r="D273" s="306">
        <f t="shared" ca="1" si="124"/>
        <v>5.8645409676329212</v>
      </c>
      <c r="E273" s="307">
        <f t="shared" ca="1" si="125"/>
        <v>44.144854478898139</v>
      </c>
      <c r="F273" s="304">
        <f t="shared" ca="1" si="126"/>
        <v>44.532696052722187</v>
      </c>
      <c r="G273" s="306">
        <f t="shared" ca="1" si="127"/>
        <v>23.905077914706315</v>
      </c>
      <c r="H273" s="307">
        <f t="shared" ca="1" si="128"/>
        <v>219.83300923996052</v>
      </c>
      <c r="I273" s="304">
        <f t="shared" ca="1" si="129"/>
        <v>221.12893230331653</v>
      </c>
      <c r="J273" s="306">
        <f t="shared" ca="1" si="130"/>
        <v>34.359599521838213</v>
      </c>
      <c r="K273" s="307">
        <f t="shared" ca="1" si="131"/>
        <v>333.63153532401702</v>
      </c>
      <c r="L273" s="304">
        <f t="shared" ca="1" si="116"/>
        <v>335.39615895528965</v>
      </c>
      <c r="M273" s="306">
        <f t="shared" ca="1" si="132"/>
        <v>1.4624799438089107</v>
      </c>
      <c r="N273" s="304">
        <f t="shared" ca="1" si="133"/>
        <v>83.793928402780367</v>
      </c>
      <c r="P273" s="310">
        <f t="shared" ca="1" si="134"/>
        <v>7</v>
      </c>
      <c r="Q273" s="304">
        <f t="shared" ca="1" si="135"/>
        <v>475.21276595744951</v>
      </c>
      <c r="R273" s="306">
        <f t="shared" ca="1" si="136"/>
        <v>0.238487146253611</v>
      </c>
      <c r="S273" s="307">
        <f t="shared" ca="1" si="137"/>
        <v>6.2734669972801251</v>
      </c>
      <c r="T273" s="304">
        <f t="shared" ca="1" si="117"/>
        <v>61.542711243318031</v>
      </c>
      <c r="U273" s="311">
        <f t="shared" ca="1" si="118"/>
        <v>0</v>
      </c>
      <c r="V273" s="306">
        <f t="shared" ca="1" si="119"/>
        <v>1.1848007242275518</v>
      </c>
      <c r="W273" s="304">
        <f t="shared" ca="1" si="120"/>
        <v>135.24962293470975</v>
      </c>
      <c r="Y273" s="314" t="str">
        <f t="shared" ca="1" si="138"/>
        <v/>
      </c>
      <c r="Z273" s="315" t="str">
        <f t="shared" ca="1" si="139"/>
        <v/>
      </c>
      <c r="AA273" s="316" t="str">
        <f t="shared" ca="1" si="140"/>
        <v/>
      </c>
      <c r="AC273" s="310" t="e">
        <f t="shared" ca="1" si="141"/>
        <v>#N/A</v>
      </c>
      <c r="AD273" s="323" t="e">
        <f t="shared" ca="1" si="142"/>
        <v>#N/A</v>
      </c>
      <c r="AE273" s="324">
        <f t="shared" ca="1" si="121"/>
        <v>333.63153532401702</v>
      </c>
      <c r="AG273" s="306">
        <f t="shared" ca="1" si="143"/>
        <v>44.520077871534014</v>
      </c>
      <c r="AH273" s="304">
        <f t="shared" ca="1" si="144"/>
        <v>54.272637328585013</v>
      </c>
    </row>
    <row r="274" spans="1:34" x14ac:dyDescent="0.2">
      <c r="A274" s="347">
        <f t="shared" ca="1" si="122"/>
        <v>0.01</v>
      </c>
      <c r="B274" s="304">
        <f t="shared" ca="1" si="123"/>
        <v>2.6999999999999864</v>
      </c>
      <c r="D274" s="306">
        <f t="shared" ca="1" si="124"/>
        <v>5.8252698834080707</v>
      </c>
      <c r="E274" s="307">
        <f t="shared" ca="1" si="125"/>
        <v>43.759647949848215</v>
      </c>
      <c r="F274" s="304">
        <f t="shared" ca="1" si="126"/>
        <v>44.145674283095914</v>
      </c>
      <c r="G274" s="306">
        <f t="shared" ca="1" si="127"/>
        <v>23.963330613540396</v>
      </c>
      <c r="H274" s="307">
        <f t="shared" ca="1" si="128"/>
        <v>220.27060571945901</v>
      </c>
      <c r="I274" s="304">
        <f t="shared" ca="1" si="129"/>
        <v>221.57026189927024</v>
      </c>
      <c r="J274" s="306">
        <f t="shared" ca="1" si="130"/>
        <v>34.598941564479446</v>
      </c>
      <c r="K274" s="307">
        <f t="shared" ca="1" si="131"/>
        <v>335.83205339881414</v>
      </c>
      <c r="L274" s="304">
        <f t="shared" ca="1" si="116"/>
        <v>337.60961900906528</v>
      </c>
      <c r="M274" s="306">
        <f t="shared" ca="1" si="132"/>
        <v>1.4624320805648154</v>
      </c>
      <c r="N274" s="304">
        <f t="shared" ca="1" si="133"/>
        <v>83.791186040899916</v>
      </c>
      <c r="P274" s="310">
        <f t="shared" ca="1" si="134"/>
        <v>7</v>
      </c>
      <c r="Q274" s="304">
        <f t="shared" ca="1" si="135"/>
        <v>473.17021276596023</v>
      </c>
      <c r="R274" s="306">
        <f t="shared" ca="1" si="136"/>
        <v>0.23746208397287022</v>
      </c>
      <c r="S274" s="307">
        <f t="shared" ca="1" si="137"/>
        <v>6.2710923764403965</v>
      </c>
      <c r="T274" s="304">
        <f t="shared" ca="1" si="117"/>
        <v>61.519416212880294</v>
      </c>
      <c r="U274" s="311">
        <f t="shared" ca="1" si="118"/>
        <v>0</v>
      </c>
      <c r="V274" s="306">
        <f t="shared" ca="1" si="119"/>
        <v>1.1845399623351247</v>
      </c>
      <c r="W274" s="304">
        <f t="shared" ca="1" si="120"/>
        <v>135.76013871439881</v>
      </c>
      <c r="Y274" s="314" t="str">
        <f t="shared" ca="1" si="138"/>
        <v/>
      </c>
      <c r="Z274" s="315" t="str">
        <f t="shared" ca="1" si="139"/>
        <v/>
      </c>
      <c r="AA274" s="316" t="str">
        <f t="shared" ca="1" si="140"/>
        <v/>
      </c>
      <c r="AC274" s="310" t="e">
        <f t="shared" ca="1" si="141"/>
        <v>#N/A</v>
      </c>
      <c r="AD274" s="323" t="e">
        <f t="shared" ca="1" si="142"/>
        <v>#N/A</v>
      </c>
      <c r="AE274" s="324">
        <f t="shared" ca="1" si="121"/>
        <v>335.83205339881414</v>
      </c>
      <c r="AG274" s="306">
        <f t="shared" ca="1" si="143"/>
        <v>44.132934215714549</v>
      </c>
      <c r="AH274" s="304">
        <f t="shared" ca="1" si="144"/>
        <v>53.885442845774392</v>
      </c>
    </row>
    <row r="275" spans="1:34" x14ac:dyDescent="0.2">
      <c r="A275" s="347">
        <f t="shared" ca="1" si="122"/>
        <v>0.01</v>
      </c>
      <c r="B275" s="304">
        <f t="shared" ca="1" si="123"/>
        <v>2.7099999999999862</v>
      </c>
      <c r="D275" s="306">
        <f t="shared" ca="1" si="124"/>
        <v>5.7859847194253504</v>
      </c>
      <c r="E275" s="307">
        <f t="shared" ca="1" si="125"/>
        <v>43.374692035722873</v>
      </c>
      <c r="F275" s="304">
        <f t="shared" ca="1" si="126"/>
        <v>43.758902275619583</v>
      </c>
      <c r="G275" s="306">
        <f t="shared" ca="1" si="127"/>
        <v>24.021190460734651</v>
      </c>
      <c r="H275" s="307">
        <f t="shared" ca="1" si="128"/>
        <v>220.70435263981625</v>
      </c>
      <c r="I275" s="304">
        <f t="shared" ca="1" si="129"/>
        <v>222.00772253530116</v>
      </c>
      <c r="J275" s="306">
        <f t="shared" ca="1" si="130"/>
        <v>34.838864169850822</v>
      </c>
      <c r="K275" s="307">
        <f t="shared" ca="1" si="131"/>
        <v>338.03692819061052</v>
      </c>
      <c r="L275" s="304">
        <f t="shared" ca="1" si="116"/>
        <v>339.82747281111529</v>
      </c>
      <c r="M275" s="306">
        <f t="shared" ca="1" si="132"/>
        <v>1.4623842906083975</v>
      </c>
      <c r="N275" s="304">
        <f t="shared" ca="1" si="133"/>
        <v>83.788447878094047</v>
      </c>
      <c r="P275" s="310">
        <f t="shared" ca="1" si="134"/>
        <v>7</v>
      </c>
      <c r="Q275" s="304">
        <f t="shared" ca="1" si="135"/>
        <v>471.1276595744709</v>
      </c>
      <c r="R275" s="306">
        <f t="shared" ca="1" si="136"/>
        <v>0.23643702169212941</v>
      </c>
      <c r="S275" s="307">
        <f t="shared" ca="1" si="137"/>
        <v>6.2687280062234754</v>
      </c>
      <c r="T275" s="304">
        <f t="shared" ca="1" si="117"/>
        <v>61.496221741052295</v>
      </c>
      <c r="U275" s="311">
        <f t="shared" ca="1" si="118"/>
        <v>0</v>
      </c>
      <c r="V275" s="306">
        <f t="shared" ca="1" si="119"/>
        <v>1.1842787407658291</v>
      </c>
      <c r="W275" s="304">
        <f t="shared" ca="1" si="120"/>
        <v>136.26669119352005</v>
      </c>
      <c r="Y275" s="314" t="str">
        <f t="shared" ca="1" si="138"/>
        <v/>
      </c>
      <c r="Z275" s="315" t="str">
        <f t="shared" ca="1" si="139"/>
        <v/>
      </c>
      <c r="AA275" s="316" t="str">
        <f t="shared" ca="1" si="140"/>
        <v/>
      </c>
      <c r="AC275" s="310" t="e">
        <f t="shared" ca="1" si="141"/>
        <v>#N/A</v>
      </c>
      <c r="AD275" s="323" t="e">
        <f t="shared" ca="1" si="142"/>
        <v>#N/A</v>
      </c>
      <c r="AE275" s="324">
        <f t="shared" ca="1" si="121"/>
        <v>338.03692819061052</v>
      </c>
      <c r="AG275" s="306">
        <f t="shared" ca="1" si="143"/>
        <v>43.74603825113806</v>
      </c>
      <c r="AH275" s="304">
        <f t="shared" ca="1" si="144"/>
        <v>53.49849611071425</v>
      </c>
    </row>
    <row r="276" spans="1:34" x14ac:dyDescent="0.2">
      <c r="A276" s="347">
        <f t="shared" ca="1" si="122"/>
        <v>0.01</v>
      </c>
      <c r="B276" s="304">
        <f t="shared" ca="1" si="123"/>
        <v>2.719999999999986</v>
      </c>
      <c r="D276" s="306">
        <f t="shared" ca="1" si="124"/>
        <v>5.7466862874582043</v>
      </c>
      <c r="E276" s="307">
        <f t="shared" ca="1" si="125"/>
        <v>42.989992530377741</v>
      </c>
      <c r="F276" s="304">
        <f t="shared" ca="1" si="126"/>
        <v>43.37238592755066</v>
      </c>
      <c r="G276" s="306">
        <f t="shared" ca="1" si="127"/>
        <v>24.078657323609232</v>
      </c>
      <c r="H276" s="307">
        <f t="shared" ca="1" si="128"/>
        <v>221.13425256512002</v>
      </c>
      <c r="I276" s="304">
        <f t="shared" ca="1" si="129"/>
        <v>222.44131674678175</v>
      </c>
      <c r="J276" s="306">
        <f t="shared" ca="1" si="130"/>
        <v>35.079363408772544</v>
      </c>
      <c r="K276" s="307">
        <f t="shared" ca="1" si="131"/>
        <v>340.24612121663523</v>
      </c>
      <c r="L276" s="304">
        <f t="shared" ca="1" si="116"/>
        <v>342.0496816840062</v>
      </c>
      <c r="M276" s="306">
        <f t="shared" ca="1" si="132"/>
        <v>1.4623365728542372</v>
      </c>
      <c r="N276" s="304">
        <f t="shared" ca="1" si="133"/>
        <v>83.785713852172819</v>
      </c>
      <c r="P276" s="310">
        <f t="shared" ca="1" si="134"/>
        <v>7</v>
      </c>
      <c r="Q276" s="304">
        <f t="shared" ca="1" si="135"/>
        <v>469.08510638298156</v>
      </c>
      <c r="R276" s="306">
        <f t="shared" ca="1" si="136"/>
        <v>0.23541195941138857</v>
      </c>
      <c r="S276" s="307">
        <f t="shared" ca="1" si="137"/>
        <v>6.2663738866293617</v>
      </c>
      <c r="T276" s="304">
        <f t="shared" ca="1" si="117"/>
        <v>61.473127827834041</v>
      </c>
      <c r="U276" s="311">
        <f t="shared" ca="1" si="118"/>
        <v>0</v>
      </c>
      <c r="V276" s="306">
        <f t="shared" ca="1" si="119"/>
        <v>1.1840170643947503</v>
      </c>
      <c r="W276" s="304">
        <f t="shared" ca="1" si="120"/>
        <v>136.76925778849355</v>
      </c>
      <c r="Y276" s="314" t="str">
        <f t="shared" ca="1" si="138"/>
        <v/>
      </c>
      <c r="Z276" s="315" t="str">
        <f t="shared" ca="1" si="139"/>
        <v/>
      </c>
      <c r="AA276" s="316" t="str">
        <f t="shared" ca="1" si="140"/>
        <v/>
      </c>
      <c r="AC276" s="310" t="e">
        <f t="shared" ca="1" si="141"/>
        <v>#N/A</v>
      </c>
      <c r="AD276" s="323" t="e">
        <f t="shared" ca="1" si="142"/>
        <v>#N/A</v>
      </c>
      <c r="AE276" s="324">
        <f t="shared" ca="1" si="121"/>
        <v>340.24612121663523</v>
      </c>
      <c r="AG276" s="306">
        <f t="shared" ca="1" si="143"/>
        <v>43.359395823296396</v>
      </c>
      <c r="AH276" s="304">
        <f t="shared" ca="1" si="144"/>
        <v>53.111802967837626</v>
      </c>
    </row>
    <row r="277" spans="1:34" x14ac:dyDescent="0.2">
      <c r="A277" s="347">
        <f t="shared" ca="1" si="122"/>
        <v>0.01</v>
      </c>
      <c r="B277" s="304">
        <f t="shared" ca="1" si="123"/>
        <v>2.7299999999999858</v>
      </c>
      <c r="D277" s="306">
        <f t="shared" ca="1" si="124"/>
        <v>5.7073753921111896</v>
      </c>
      <c r="E277" s="307">
        <f t="shared" ca="1" si="125"/>
        <v>42.605555173235338</v>
      </c>
      <c r="F277" s="304">
        <f t="shared" ca="1" si="126"/>
        <v>42.986131083014165</v>
      </c>
      <c r="G277" s="306">
        <f t="shared" ca="1" si="127"/>
        <v>24.135731077530345</v>
      </c>
      <c r="H277" s="307">
        <f t="shared" ca="1" si="128"/>
        <v>221.56030811685238</v>
      </c>
      <c r="I277" s="304">
        <f t="shared" ca="1" si="129"/>
        <v>222.87104712699096</v>
      </c>
      <c r="J277" s="306">
        <f t="shared" ca="1" si="130"/>
        <v>35.32043535077824</v>
      </c>
      <c r="K277" s="307">
        <f t="shared" ca="1" si="131"/>
        <v>342.45959402004507</v>
      </c>
      <c r="L277" s="304">
        <f t="shared" ca="1" si="116"/>
        <v>344.27620697594341</v>
      </c>
      <c r="M277" s="306">
        <f t="shared" ca="1" si="132"/>
        <v>1.4622889262270864</v>
      </c>
      <c r="N277" s="304">
        <f t="shared" ca="1" si="133"/>
        <v>83.78298390152905</v>
      </c>
      <c r="P277" s="310">
        <f t="shared" ca="1" si="134"/>
        <v>7</v>
      </c>
      <c r="Q277" s="304">
        <f t="shared" ca="1" si="135"/>
        <v>467.04255319149229</v>
      </c>
      <c r="R277" s="306">
        <f t="shared" ca="1" si="136"/>
        <v>0.23438689713064778</v>
      </c>
      <c r="S277" s="307">
        <f t="shared" ca="1" si="137"/>
        <v>6.2640300176580554</v>
      </c>
      <c r="T277" s="304">
        <f t="shared" ca="1" si="117"/>
        <v>61.450134473225525</v>
      </c>
      <c r="U277" s="311">
        <f t="shared" ca="1" si="118"/>
        <v>0</v>
      </c>
      <c r="V277" s="306">
        <f t="shared" ca="1" si="119"/>
        <v>1.1837549380903893</v>
      </c>
      <c r="W277" s="304">
        <f t="shared" ca="1" si="120"/>
        <v>137.26781629795488</v>
      </c>
      <c r="Y277" s="314" t="str">
        <f t="shared" ca="1" si="138"/>
        <v/>
      </c>
      <c r="Z277" s="315" t="str">
        <f t="shared" ca="1" si="139"/>
        <v/>
      </c>
      <c r="AA277" s="316" t="str">
        <f t="shared" ca="1" si="140"/>
        <v/>
      </c>
      <c r="AC277" s="310" t="e">
        <f t="shared" ca="1" si="141"/>
        <v>#N/A</v>
      </c>
      <c r="AD277" s="323" t="e">
        <f t="shared" ca="1" si="142"/>
        <v>#N/A</v>
      </c>
      <c r="AE277" s="324">
        <f t="shared" ca="1" si="121"/>
        <v>342.45959402004507</v>
      </c>
      <c r="AG277" s="306">
        <f t="shared" ca="1" si="143"/>
        <v>42.973012722815227</v>
      </c>
      <c r="AH277" s="304">
        <f t="shared" ca="1" si="144"/>
        <v>52.72536920672016</v>
      </c>
    </row>
    <row r="278" spans="1:34" x14ac:dyDescent="0.2">
      <c r="A278" s="347">
        <f t="shared" ca="1" si="122"/>
        <v>0.01</v>
      </c>
      <c r="B278" s="304">
        <f t="shared" ca="1" si="123"/>
        <v>2.7399999999999856</v>
      </c>
      <c r="D278" s="306">
        <f t="shared" ca="1" si="124"/>
        <v>5.6680528308302813</v>
      </c>
      <c r="E278" s="307">
        <f t="shared" ca="1" si="125"/>
        <v>42.221385649241121</v>
      </c>
      <c r="F278" s="304">
        <f t="shared" ca="1" si="126"/>
        <v>42.600143533033162</v>
      </c>
      <c r="G278" s="306">
        <f t="shared" ca="1" si="127"/>
        <v>24.192411605838647</v>
      </c>
      <c r="H278" s="307">
        <f t="shared" ca="1" si="128"/>
        <v>221.9825219733448</v>
      </c>
      <c r="I278" s="304">
        <f t="shared" ca="1" si="129"/>
        <v>223.29691632656468</v>
      </c>
      <c r="J278" s="306">
        <f t="shared" ca="1" si="130"/>
        <v>35.562076064195082</v>
      </c>
      <c r="K278" s="307">
        <f t="shared" ca="1" si="131"/>
        <v>344.67730817049608</v>
      </c>
      <c r="L278" s="304">
        <f t="shared" ca="1" si="116"/>
        <v>346.50701006134739</v>
      </c>
      <c r="M278" s="306">
        <f t="shared" ca="1" si="132"/>
        <v>1.4622413496616915</v>
      </c>
      <c r="N278" s="304">
        <f t="shared" ca="1" si="133"/>
        <v>83.780257965128186</v>
      </c>
      <c r="P278" s="310">
        <f t="shared" ca="1" si="134"/>
        <v>7</v>
      </c>
      <c r="Q278" s="304">
        <f t="shared" ca="1" si="135"/>
        <v>465.00000000000296</v>
      </c>
      <c r="R278" s="306">
        <f t="shared" ca="1" si="136"/>
        <v>0.23336183484990697</v>
      </c>
      <c r="S278" s="307">
        <f t="shared" ca="1" si="137"/>
        <v>6.2616963993095567</v>
      </c>
      <c r="T278" s="304">
        <f t="shared" ca="1" si="117"/>
        <v>61.427241677226753</v>
      </c>
      <c r="U278" s="311">
        <f t="shared" ca="1" si="118"/>
        <v>0</v>
      </c>
      <c r="V278" s="306">
        <f t="shared" ca="1" si="119"/>
        <v>1.1834923667145816</v>
      </c>
      <c r="W278" s="304">
        <f t="shared" ca="1" si="120"/>
        <v>137.7623449017544</v>
      </c>
      <c r="Y278" s="314" t="str">
        <f t="shared" ca="1" si="138"/>
        <v/>
      </c>
      <c r="Z278" s="315" t="str">
        <f t="shared" ca="1" si="139"/>
        <v/>
      </c>
      <c r="AA278" s="316" t="str">
        <f t="shared" ca="1" si="140"/>
        <v/>
      </c>
      <c r="AC278" s="310" t="e">
        <f t="shared" ca="1" si="141"/>
        <v>#N/A</v>
      </c>
      <c r="AD278" s="323" t="e">
        <f t="shared" ca="1" si="142"/>
        <v>#N/A</v>
      </c>
      <c r="AE278" s="324">
        <f t="shared" ca="1" si="121"/>
        <v>344.67730817049608</v>
      </c>
      <c r="AG278" s="306">
        <f t="shared" ca="1" si="143"/>
        <v>42.586894685411139</v>
      </c>
      <c r="AH278" s="304">
        <f t="shared" ca="1" si="144"/>
        <v>52.339200562037043</v>
      </c>
    </row>
    <row r="279" spans="1:34" x14ac:dyDescent="0.2">
      <c r="A279" s="347">
        <f t="shared" ca="1" si="122"/>
        <v>0.01</v>
      </c>
      <c r="B279" s="304">
        <f t="shared" ca="1" si="123"/>
        <v>2.7499999999999853</v>
      </c>
      <c r="D279" s="306">
        <f t="shared" ca="1" si="124"/>
        <v>5.6287193939132631</v>
      </c>
      <c r="E279" s="307">
        <f t="shared" ca="1" si="125"/>
        <v>41.837489588825903</v>
      </c>
      <c r="F279" s="304">
        <f t="shared" ca="1" si="126"/>
        <v>42.214429015569202</v>
      </c>
      <c r="G279" s="306">
        <f t="shared" ca="1" si="127"/>
        <v>24.248698799777781</v>
      </c>
      <c r="H279" s="307">
        <f t="shared" ca="1" si="128"/>
        <v>222.40089686923307</v>
      </c>
      <c r="I279" s="304">
        <f t="shared" ca="1" si="129"/>
        <v>223.71892705294647</v>
      </c>
      <c r="J279" s="306">
        <f t="shared" ca="1" si="130"/>
        <v>35.804281616223165</v>
      </c>
      <c r="K279" s="307">
        <f t="shared" ca="1" si="131"/>
        <v>346.89922526470895</v>
      </c>
      <c r="L279" s="304">
        <f t="shared" ca="1" si="116"/>
        <v>348.74205234142482</v>
      </c>
      <c r="M279" s="306">
        <f t="shared" ca="1" si="132"/>
        <v>1.4621938421026208</v>
      </c>
      <c r="N279" s="304">
        <f t="shared" ca="1" si="133"/>
        <v>83.777535982498478</v>
      </c>
      <c r="P279" s="310">
        <f t="shared" ca="1" si="134"/>
        <v>7</v>
      </c>
      <c r="Q279" s="304">
        <f t="shared" ca="1" si="135"/>
        <v>462.95744680851362</v>
      </c>
      <c r="R279" s="306">
        <f t="shared" ca="1" si="136"/>
        <v>0.23233677256916616</v>
      </c>
      <c r="S279" s="307">
        <f t="shared" ca="1" si="137"/>
        <v>6.2593730315838654</v>
      </c>
      <c r="T279" s="304">
        <f t="shared" ca="1" si="117"/>
        <v>61.40444943983772</v>
      </c>
      <c r="U279" s="311">
        <f t="shared" ca="1" si="118"/>
        <v>0</v>
      </c>
      <c r="V279" s="306">
        <f t="shared" ca="1" si="119"/>
        <v>1.1832293551224153</v>
      </c>
      <c r="W279" s="304">
        <f t="shared" ca="1" si="120"/>
        <v>138.25282215992772</v>
      </c>
      <c r="Y279" s="314" t="str">
        <f t="shared" ca="1" si="138"/>
        <v/>
      </c>
      <c r="Z279" s="315" t="str">
        <f t="shared" ca="1" si="139"/>
        <v/>
      </c>
      <c r="AA279" s="316" t="str">
        <f t="shared" ca="1" si="140"/>
        <v/>
      </c>
      <c r="AC279" s="310" t="e">
        <f t="shared" ca="1" si="141"/>
        <v>#N/A</v>
      </c>
      <c r="AD279" s="323" t="e">
        <f t="shared" ca="1" si="142"/>
        <v>#N/A</v>
      </c>
      <c r="AE279" s="324">
        <f t="shared" ca="1" si="121"/>
        <v>346.89922526470895</v>
      </c>
      <c r="AG279" s="306">
        <f t="shared" ca="1" si="143"/>
        <v>42.201047391855056</v>
      </c>
      <c r="AH279" s="304">
        <f t="shared" ca="1" si="144"/>
        <v>51.95330271352627</v>
      </c>
    </row>
    <row r="280" spans="1:34" x14ac:dyDescent="0.2">
      <c r="A280" s="347">
        <f t="shared" ca="1" si="122"/>
        <v>0.01</v>
      </c>
      <c r="B280" s="304">
        <f t="shared" ca="1" si="123"/>
        <v>2.7599999999999851</v>
      </c>
      <c r="D280" s="306">
        <f t="shared" ca="1" si="124"/>
        <v>5.5893758645203304</v>
      </c>
      <c r="E280" s="307">
        <f t="shared" ca="1" si="125"/>
        <v>41.453872567873972</v>
      </c>
      <c r="F280" s="304">
        <f t="shared" ca="1" si="126"/>
        <v>41.828993215572574</v>
      </c>
      <c r="G280" s="306">
        <f t="shared" ca="1" si="127"/>
        <v>24.304592558422986</v>
      </c>
      <c r="H280" s="307">
        <f t="shared" ca="1" si="128"/>
        <v>222.8154355949118</v>
      </c>
      <c r="I280" s="304">
        <f t="shared" ca="1" si="129"/>
        <v>224.1370820698379</v>
      </c>
      <c r="J280" s="306">
        <f t="shared" ca="1" si="130"/>
        <v>36.047048073014167</v>
      </c>
      <c r="K280" s="307">
        <f t="shared" ca="1" si="131"/>
        <v>349.12530692702967</v>
      </c>
      <c r="L280" s="304">
        <f t="shared" ca="1" si="116"/>
        <v>350.98129524473364</v>
      </c>
      <c r="M280" s="306">
        <f t="shared" ca="1" si="132"/>
        <v>1.4621464025040927</v>
      </c>
      <c r="N280" s="304">
        <f t="shared" ca="1" si="133"/>
        <v>83.774817893721007</v>
      </c>
      <c r="P280" s="310">
        <f t="shared" ca="1" si="134"/>
        <v>7</v>
      </c>
      <c r="Q280" s="304">
        <f t="shared" ca="1" si="135"/>
        <v>460.91489361702429</v>
      </c>
      <c r="R280" s="306">
        <f t="shared" ca="1" si="136"/>
        <v>0.23131171028842534</v>
      </c>
      <c r="S280" s="307">
        <f t="shared" ca="1" si="137"/>
        <v>6.2570599144809815</v>
      </c>
      <c r="T280" s="304">
        <f t="shared" ca="1" si="117"/>
        <v>61.381757761058431</v>
      </c>
      <c r="U280" s="311">
        <f t="shared" ca="1" si="118"/>
        <v>0</v>
      </c>
      <c r="V280" s="306">
        <f t="shared" ca="1" si="119"/>
        <v>1.1829659081621531</v>
      </c>
      <c r="W280" s="304">
        <f t="shared" ca="1" si="120"/>
        <v>138.73922701163752</v>
      </c>
      <c r="Y280" s="314" t="str">
        <f t="shared" ca="1" si="138"/>
        <v/>
      </c>
      <c r="Z280" s="315" t="str">
        <f t="shared" ca="1" si="139"/>
        <v/>
      </c>
      <c r="AA280" s="316" t="str">
        <f t="shared" ca="1" si="140"/>
        <v/>
      </c>
      <c r="AC280" s="310" t="e">
        <f t="shared" ca="1" si="141"/>
        <v>#N/A</v>
      </c>
      <c r="AD280" s="323" t="e">
        <f t="shared" ca="1" si="142"/>
        <v>#N/A</v>
      </c>
      <c r="AE280" s="324">
        <f t="shared" ca="1" si="121"/>
        <v>349.12530692702967</v>
      </c>
      <c r="AG280" s="306">
        <f t="shared" ca="1" si="143"/>
        <v>41.815476467941352</v>
      </c>
      <c r="AH280" s="304">
        <f t="shared" ca="1" si="144"/>
        <v>51.567681285957626</v>
      </c>
    </row>
    <row r="281" spans="1:34" x14ac:dyDescent="0.2">
      <c r="A281" s="347">
        <f t="shared" ca="1" si="122"/>
        <v>0.01</v>
      </c>
      <c r="B281" s="304">
        <f t="shared" ca="1" si="123"/>
        <v>2.7699999999999849</v>
      </c>
      <c r="D281" s="306">
        <f t="shared" ca="1" si="124"/>
        <v>5.5500230186849668</v>
      </c>
      <c r="E281" s="307">
        <f t="shared" ca="1" si="125"/>
        <v>41.070540107697163</v>
      </c>
      <c r="F281" s="304">
        <f t="shared" ca="1" si="126"/>
        <v>41.443841765042656</v>
      </c>
      <c r="G281" s="306">
        <f t="shared" ca="1" si="127"/>
        <v>24.360092788609837</v>
      </c>
      <c r="H281" s="307">
        <f t="shared" ca="1" si="128"/>
        <v>223.22614099598877</v>
      </c>
      <c r="I281" s="304">
        <f t="shared" ca="1" si="129"/>
        <v>224.55138419664826</v>
      </c>
      <c r="J281" s="306">
        <f t="shared" ca="1" si="130"/>
        <v>36.290371499749334</v>
      </c>
      <c r="K281" s="307">
        <f t="shared" ca="1" si="131"/>
        <v>351.35551480998419</v>
      </c>
      <c r="L281" s="304">
        <f t="shared" ca="1" si="116"/>
        <v>353.22470022774291</v>
      </c>
      <c r="M281" s="306">
        <f t="shared" ca="1" si="132"/>
        <v>1.4620990298298089</v>
      </c>
      <c r="N281" s="304">
        <f t="shared" ca="1" si="133"/>
        <v>83.772103639420308</v>
      </c>
      <c r="P281" s="310">
        <f t="shared" ca="1" si="134"/>
        <v>7</v>
      </c>
      <c r="Q281" s="304">
        <f t="shared" ca="1" si="135"/>
        <v>458.87234042553501</v>
      </c>
      <c r="R281" s="306">
        <f t="shared" ca="1" si="136"/>
        <v>0.23028664800768453</v>
      </c>
      <c r="S281" s="307">
        <f t="shared" ca="1" si="137"/>
        <v>6.2547570480009043</v>
      </c>
      <c r="T281" s="304">
        <f t="shared" ca="1" si="117"/>
        <v>61.359166640888873</v>
      </c>
      <c r="U281" s="311">
        <f t="shared" ca="1" si="118"/>
        <v>0</v>
      </c>
      <c r="V281" s="306">
        <f t="shared" ca="1" si="119"/>
        <v>1.1827020306751543</v>
      </c>
      <c r="W281" s="304">
        <f t="shared" ca="1" si="120"/>
        <v>139.22153877408635</v>
      </c>
      <c r="Y281" s="314" t="str">
        <f t="shared" ca="1" si="138"/>
        <v/>
      </c>
      <c r="Z281" s="315" t="str">
        <f t="shared" ca="1" si="139"/>
        <v/>
      </c>
      <c r="AA281" s="316" t="str">
        <f t="shared" ca="1" si="140"/>
        <v/>
      </c>
      <c r="AC281" s="310" t="e">
        <f t="shared" ca="1" si="141"/>
        <v>#N/A</v>
      </c>
      <c r="AD281" s="323" t="e">
        <f t="shared" ca="1" si="142"/>
        <v>#N/A</v>
      </c>
      <c r="AE281" s="324">
        <f t="shared" ca="1" si="121"/>
        <v>351.35551480998419</v>
      </c>
      <c r="AG281" s="306">
        <f t="shared" ca="1" si="143"/>
        <v>41.430187484462969</v>
      </c>
      <c r="AH281" s="304">
        <f t="shared" ca="1" si="144"/>
        <v>51.182341849107615</v>
      </c>
    </row>
    <row r="282" spans="1:34" x14ac:dyDescent="0.2">
      <c r="A282" s="347">
        <f t="shared" ca="1" si="122"/>
        <v>0.01</v>
      </c>
      <c r="B282" s="304">
        <f t="shared" ca="1" si="123"/>
        <v>2.7799999999999847</v>
      </c>
      <c r="D282" s="306">
        <f t="shared" ca="1" si="124"/>
        <v>5.5106616253249445</v>
      </c>
      <c r="E282" s="307">
        <f t="shared" ca="1" si="125"/>
        <v>40.687497675014804</v>
      </c>
      <c r="F282" s="304">
        <f t="shared" ca="1" si="126"/>
        <v>41.058980243098631</v>
      </c>
      <c r="G282" s="306">
        <f t="shared" ca="1" si="127"/>
        <v>24.415199404863085</v>
      </c>
      <c r="H282" s="307">
        <f t="shared" ca="1" si="128"/>
        <v>223.63301597273892</v>
      </c>
      <c r="I282" s="304">
        <f t="shared" ca="1" si="129"/>
        <v>224.96183630794474</v>
      </c>
      <c r="J282" s="306">
        <f t="shared" ca="1" si="130"/>
        <v>36.534247960716698</v>
      </c>
      <c r="K282" s="307">
        <f t="shared" ca="1" si="131"/>
        <v>353.58981059482784</v>
      </c>
      <c r="L282" s="304">
        <f t="shared" ca="1" si="116"/>
        <v>355.47222877538741</v>
      </c>
      <c r="M282" s="306">
        <f t="shared" ca="1" si="132"/>
        <v>1.4620517230527905</v>
      </c>
      <c r="N282" s="304">
        <f t="shared" ca="1" si="133"/>
        <v>83.769393160754788</v>
      </c>
      <c r="P282" s="310">
        <f t="shared" ca="1" si="134"/>
        <v>7</v>
      </c>
      <c r="Q282" s="304">
        <f t="shared" ca="1" si="135"/>
        <v>456.82978723404568</v>
      </c>
      <c r="R282" s="306">
        <f t="shared" ca="1" si="136"/>
        <v>0.22926158572694372</v>
      </c>
      <c r="S282" s="307">
        <f t="shared" ca="1" si="137"/>
        <v>6.2524644321436345</v>
      </c>
      <c r="T282" s="304">
        <f t="shared" ca="1" si="117"/>
        <v>61.33667607932906</v>
      </c>
      <c r="U282" s="311">
        <f t="shared" ca="1" si="118"/>
        <v>0</v>
      </c>
      <c r="V282" s="306">
        <f t="shared" ca="1" si="119"/>
        <v>1.1824377274957958</v>
      </c>
      <c r="W282" s="304">
        <f t="shared" ca="1" si="120"/>
        <v>139.6997371414021</v>
      </c>
      <c r="Y282" s="314" t="str">
        <f t="shared" ca="1" si="138"/>
        <v/>
      </c>
      <c r="Z282" s="315" t="str">
        <f t="shared" ca="1" si="139"/>
        <v/>
      </c>
      <c r="AA282" s="316" t="str">
        <f t="shared" ca="1" si="140"/>
        <v/>
      </c>
      <c r="AC282" s="310" t="e">
        <f t="shared" ca="1" si="141"/>
        <v>#N/A</v>
      </c>
      <c r="AD282" s="323" t="e">
        <f t="shared" ca="1" si="142"/>
        <v>#N/A</v>
      </c>
      <c r="AE282" s="324">
        <f t="shared" ca="1" si="121"/>
        <v>353.58981059482784</v>
      </c>
      <c r="AG282" s="306">
        <f t="shared" ca="1" si="143"/>
        <v>41.045185957192331</v>
      </c>
      <c r="AH282" s="304">
        <f t="shared" ca="1" si="144"/>
        <v>50.797289917740244</v>
      </c>
    </row>
    <row r="283" spans="1:34" x14ac:dyDescent="0.2">
      <c r="A283" s="347">
        <f t="shared" ca="1" si="122"/>
        <v>0.01</v>
      </c>
      <c r="B283" s="304">
        <f t="shared" ca="1" si="123"/>
        <v>2.7899999999999845</v>
      </c>
      <c r="D283" s="306">
        <f t="shared" ca="1" si="124"/>
        <v>5.4712924462535746</v>
      </c>
      <c r="E283" s="307">
        <f t="shared" ca="1" si="125"/>
        <v>40.30475068193951</v>
      </c>
      <c r="F283" s="304">
        <f t="shared" ca="1" si="126"/>
        <v>40.674414176060786</v>
      </c>
      <c r="G283" s="306">
        <f t="shared" ca="1" si="127"/>
        <v>24.46991232932562</v>
      </c>
      <c r="H283" s="307">
        <f t="shared" ca="1" si="128"/>
        <v>224.03606347955832</v>
      </c>
      <c r="I283" s="304">
        <f t="shared" ca="1" si="129"/>
        <v>225.36844133290174</v>
      </c>
      <c r="J283" s="306">
        <f t="shared" ca="1" si="130"/>
        <v>36.778673519387638</v>
      </c>
      <c r="K283" s="307">
        <f t="shared" ca="1" si="131"/>
        <v>355.82815599208931</v>
      </c>
      <c r="L283" s="304">
        <f t="shared" ca="1" si="116"/>
        <v>357.7238424016162</v>
      </c>
      <c r="M283" s="306">
        <f t="shared" ca="1" si="132"/>
        <v>1.4620044811552158</v>
      </c>
      <c r="N283" s="304">
        <f t="shared" ca="1" si="133"/>
        <v>83.766686399407561</v>
      </c>
      <c r="P283" s="310">
        <f t="shared" ca="1" si="134"/>
        <v>7</v>
      </c>
      <c r="Q283" s="304">
        <f t="shared" ca="1" si="135"/>
        <v>454.78723404255635</v>
      </c>
      <c r="R283" s="306">
        <f t="shared" ca="1" si="136"/>
        <v>0.2282365234462029</v>
      </c>
      <c r="S283" s="307">
        <f t="shared" ca="1" si="137"/>
        <v>6.2501820669091721</v>
      </c>
      <c r="T283" s="304">
        <f t="shared" ca="1" si="117"/>
        <v>61.314286076378984</v>
      </c>
      <c r="U283" s="311">
        <f t="shared" ca="1" si="118"/>
        <v>0</v>
      </c>
      <c r="V283" s="306">
        <f t="shared" ca="1" si="119"/>
        <v>1.1821730034513973</v>
      </c>
      <c r="W283" s="304">
        <f t="shared" ca="1" si="120"/>
        <v>140.17380218349524</v>
      </c>
      <c r="Y283" s="314" t="str">
        <f t="shared" ca="1" si="138"/>
        <v/>
      </c>
      <c r="Z283" s="315" t="str">
        <f t="shared" ca="1" si="139"/>
        <v/>
      </c>
      <c r="AA283" s="316" t="str">
        <f t="shared" ca="1" si="140"/>
        <v/>
      </c>
      <c r="AC283" s="310" t="e">
        <f t="shared" ca="1" si="141"/>
        <v>#N/A</v>
      </c>
      <c r="AD283" s="323" t="e">
        <f t="shared" ca="1" si="142"/>
        <v>#N/A</v>
      </c>
      <c r="AE283" s="324">
        <f t="shared" ca="1" si="121"/>
        <v>355.82815599208931</v>
      </c>
      <c r="AG283" s="306">
        <f t="shared" ca="1" si="143"/>
        <v>40.66047734686812</v>
      </c>
      <c r="AH283" s="304">
        <f t="shared" ca="1" si="144"/>
        <v>50.412530951593659</v>
      </c>
    </row>
    <row r="284" spans="1:34" x14ac:dyDescent="0.2">
      <c r="A284" s="347">
        <f t="shared" ca="1" si="122"/>
        <v>0.01</v>
      </c>
      <c r="B284" s="304">
        <f t="shared" ca="1" si="123"/>
        <v>2.7999999999999843</v>
      </c>
      <c r="D284" s="306">
        <f t="shared" ca="1" si="124"/>
        <v>5.4319162361912205</v>
      </c>
      <c r="E284" s="307">
        <f t="shared" ca="1" si="125"/>
        <v>39.922304485968638</v>
      </c>
      <c r="F284" s="304">
        <f t="shared" ca="1" si="126"/>
        <v>40.290149037542534</v>
      </c>
      <c r="G284" s="306">
        <f t="shared" ca="1" si="127"/>
        <v>24.524231491687534</v>
      </c>
      <c r="H284" s="307">
        <f t="shared" ca="1" si="128"/>
        <v>224.43528652441802</v>
      </c>
      <c r="I284" s="304">
        <f t="shared" ca="1" si="129"/>
        <v>225.77120225475059</v>
      </c>
      <c r="J284" s="306">
        <f t="shared" ca="1" si="130"/>
        <v>37.023644238492707</v>
      </c>
      <c r="K284" s="307">
        <f t="shared" ca="1" si="131"/>
        <v>358.0705127421092</v>
      </c>
      <c r="L284" s="304">
        <f t="shared" ca="1" si="116"/>
        <v>359.97950264993625</v>
      </c>
      <c r="M284" s="306">
        <f t="shared" ca="1" si="132"/>
        <v>1.4619573031282622</v>
      </c>
      <c r="N284" s="304">
        <f t="shared" ca="1" si="133"/>
        <v>83.763983297577369</v>
      </c>
      <c r="P284" s="310">
        <f t="shared" ca="1" si="134"/>
        <v>7</v>
      </c>
      <c r="Q284" s="304">
        <f t="shared" ca="1" si="135"/>
        <v>452.74468085106707</v>
      </c>
      <c r="R284" s="306">
        <f t="shared" ca="1" si="136"/>
        <v>0.22721146116546212</v>
      </c>
      <c r="S284" s="307">
        <f t="shared" ca="1" si="137"/>
        <v>6.2479099522975172</v>
      </c>
      <c r="T284" s="304">
        <f t="shared" ca="1" si="117"/>
        <v>61.291996632038646</v>
      </c>
      <c r="U284" s="311">
        <f t="shared" ca="1" si="118"/>
        <v>0</v>
      </c>
      <c r="V284" s="306">
        <f t="shared" ca="1" si="119"/>
        <v>1.1819078633621452</v>
      </c>
      <c r="W284" s="304">
        <f t="shared" ca="1" si="120"/>
        <v>140.64371434488959</v>
      </c>
      <c r="Y284" s="314" t="str">
        <f t="shared" ca="1" si="138"/>
        <v/>
      </c>
      <c r="Z284" s="315" t="str">
        <f t="shared" ca="1" si="139"/>
        <v/>
      </c>
      <c r="AA284" s="316" t="str">
        <f t="shared" ca="1" si="140"/>
        <v/>
      </c>
      <c r="AC284" s="310" t="e">
        <f t="shared" ca="1" si="141"/>
        <v>#N/A</v>
      </c>
      <c r="AD284" s="323" t="e">
        <f t="shared" ca="1" si="142"/>
        <v>#N/A</v>
      </c>
      <c r="AE284" s="324">
        <f t="shared" ca="1" si="121"/>
        <v>358.0705127421092</v>
      </c>
      <c r="AG284" s="306">
        <f t="shared" ca="1" si="143"/>
        <v>40.276067059187724</v>
      </c>
      <c r="AH284" s="304">
        <f t="shared" ca="1" si="144"/>
        <v>50.028070355372435</v>
      </c>
    </row>
    <row r="285" spans="1:34" x14ac:dyDescent="0.2">
      <c r="A285" s="347">
        <f t="shared" ca="1" si="122"/>
        <v>0.01</v>
      </c>
      <c r="B285" s="304">
        <f t="shared" ca="1" si="123"/>
        <v>2.8099999999999841</v>
      </c>
      <c r="D285" s="306">
        <f t="shared" ca="1" si="124"/>
        <v>5.3925337427769522</v>
      </c>
      <c r="E285" s="307">
        <f t="shared" ca="1" si="125"/>
        <v>39.540164389981378</v>
      </c>
      <c r="F285" s="304">
        <f t="shared" ca="1" si="126"/>
        <v>39.906190248553415</v>
      </c>
      <c r="G285" s="306">
        <f t="shared" ca="1" si="127"/>
        <v>24.578156829115304</v>
      </c>
      <c r="H285" s="307">
        <f t="shared" ca="1" si="128"/>
        <v>224.83068816831783</v>
      </c>
      <c r="I285" s="304">
        <f t="shared" ca="1" si="129"/>
        <v>226.17012211022916</v>
      </c>
      <c r="J285" s="306">
        <f t="shared" ca="1" si="130"/>
        <v>37.269156180096722</v>
      </c>
      <c r="K285" s="307">
        <f t="shared" ca="1" si="131"/>
        <v>360.31684261557291</v>
      </c>
      <c r="L285" s="304">
        <f t="shared" ca="1" si="116"/>
        <v>362.23917109395001</v>
      </c>
      <c r="M285" s="306">
        <f t="shared" ca="1" si="132"/>
        <v>1.4619101879719507</v>
      </c>
      <c r="N285" s="304">
        <f t="shared" ca="1" si="133"/>
        <v>83.761283797969625</v>
      </c>
      <c r="P285" s="310">
        <f t="shared" ca="1" si="134"/>
        <v>7</v>
      </c>
      <c r="Q285" s="304">
        <f t="shared" ca="1" si="135"/>
        <v>450.70212765957774</v>
      </c>
      <c r="R285" s="306">
        <f t="shared" ca="1" si="136"/>
        <v>0.22618639888472128</v>
      </c>
      <c r="S285" s="307">
        <f t="shared" ca="1" si="137"/>
        <v>6.2456480883086698</v>
      </c>
      <c r="T285" s="304">
        <f t="shared" ca="1" si="117"/>
        <v>61.269807746308054</v>
      </c>
      <c r="U285" s="311">
        <f t="shared" ca="1" si="118"/>
        <v>0</v>
      </c>
      <c r="V285" s="306">
        <f t="shared" ca="1" si="119"/>
        <v>1.1816423120410171</v>
      </c>
      <c r="W285" s="304">
        <f t="shared" ca="1" si="120"/>
        <v>141.109454443526</v>
      </c>
      <c r="Y285" s="314" t="str">
        <f t="shared" ca="1" si="138"/>
        <v/>
      </c>
      <c r="Z285" s="315" t="str">
        <f t="shared" ca="1" si="139"/>
        <v/>
      </c>
      <c r="AA285" s="316" t="str">
        <f t="shared" ca="1" si="140"/>
        <v/>
      </c>
      <c r="AC285" s="310" t="e">
        <f t="shared" ca="1" si="141"/>
        <v>#N/A</v>
      </c>
      <c r="AD285" s="323" t="e">
        <f t="shared" ca="1" si="142"/>
        <v>#N/A</v>
      </c>
      <c r="AE285" s="324">
        <f t="shared" ca="1" si="121"/>
        <v>360.31684261557291</v>
      </c>
      <c r="AG285" s="306">
        <f t="shared" ca="1" si="143"/>
        <v>39.891960444805356</v>
      </c>
      <c r="AH285" s="304">
        <f t="shared" ca="1" si="144"/>
        <v>49.643913478745553</v>
      </c>
    </row>
    <row r="286" spans="1:34" x14ac:dyDescent="0.2">
      <c r="A286" s="347">
        <f t="shared" ca="1" si="122"/>
        <v>0.01</v>
      </c>
      <c r="B286" s="304">
        <f t="shared" ca="1" si="123"/>
        <v>2.8199999999999839</v>
      </c>
      <c r="D286" s="306">
        <f t="shared" ca="1" si="124"/>
        <v>5.3531457065805048</v>
      </c>
      <c r="E286" s="307">
        <f t="shared" ca="1" si="125"/>
        <v>39.158335642241589</v>
      </c>
      <c r="F286" s="304">
        <f t="shared" ca="1" si="126"/>
        <v>39.522543177613571</v>
      </c>
      <c r="G286" s="306">
        <f t="shared" ca="1" si="127"/>
        <v>24.63168828618111</v>
      </c>
      <c r="H286" s="307">
        <f t="shared" ca="1" si="128"/>
        <v>225.22227152474025</v>
      </c>
      <c r="I286" s="304">
        <f t="shared" ca="1" si="129"/>
        <v>226.5652039890314</v>
      </c>
      <c r="J286" s="306">
        <f t="shared" ca="1" si="130"/>
        <v>37.515205405673207</v>
      </c>
      <c r="K286" s="307">
        <f t="shared" ca="1" si="131"/>
        <v>362.56710741403822</v>
      </c>
      <c r="L286" s="304">
        <f t="shared" ca="1" si="116"/>
        <v>364.50280933788781</v>
      </c>
      <c r="M286" s="306">
        <f t="shared" ca="1" si="132"/>
        <v>1.4618631346949931</v>
      </c>
      <c r="N286" s="304">
        <f t="shared" ca="1" si="133"/>
        <v>83.758587843787694</v>
      </c>
      <c r="P286" s="310">
        <f t="shared" ca="1" si="134"/>
        <v>7</v>
      </c>
      <c r="Q286" s="304">
        <f t="shared" ca="1" si="135"/>
        <v>448.65957446808841</v>
      </c>
      <c r="R286" s="306">
        <f t="shared" ca="1" si="136"/>
        <v>0.22516133660398047</v>
      </c>
      <c r="S286" s="307">
        <f t="shared" ca="1" si="137"/>
        <v>6.2433964749426298</v>
      </c>
      <c r="T286" s="304">
        <f t="shared" ca="1" si="117"/>
        <v>61.247719419187199</v>
      </c>
      <c r="U286" s="311">
        <f t="shared" ca="1" si="118"/>
        <v>0</v>
      </c>
      <c r="V286" s="306">
        <f t="shared" ca="1" si="119"/>
        <v>1.1813763542937099</v>
      </c>
      <c r="W286" s="304">
        <f t="shared" ca="1" si="120"/>
        <v>141.57100366954006</v>
      </c>
      <c r="Y286" s="314" t="str">
        <f t="shared" ca="1" si="138"/>
        <v/>
      </c>
      <c r="Z286" s="315" t="str">
        <f t="shared" ca="1" si="139"/>
        <v/>
      </c>
      <c r="AA286" s="316" t="str">
        <f t="shared" ca="1" si="140"/>
        <v/>
      </c>
      <c r="AC286" s="310" t="e">
        <f t="shared" ca="1" si="141"/>
        <v>#N/A</v>
      </c>
      <c r="AD286" s="323" t="e">
        <f t="shared" ca="1" si="142"/>
        <v>#N/A</v>
      </c>
      <c r="AE286" s="324">
        <f t="shared" ca="1" si="121"/>
        <v>362.56710741403822</v>
      </c>
      <c r="AG286" s="306">
        <f t="shared" ca="1" si="143"/>
        <v>39.508162799335778</v>
      </c>
      <c r="AH286" s="304">
        <f t="shared" ca="1" si="144"/>
        <v>49.260065616350019</v>
      </c>
    </row>
    <row r="287" spans="1:34" x14ac:dyDescent="0.2">
      <c r="A287" s="347">
        <f t="shared" ca="1" si="122"/>
        <v>0.01</v>
      </c>
      <c r="B287" s="304">
        <f t="shared" ca="1" si="123"/>
        <v>2.8299999999999836</v>
      </c>
      <c r="D287" s="306">
        <f t="shared" ca="1" si="124"/>
        <v>5.31375286111441</v>
      </c>
      <c r="E287" s="307">
        <f t="shared" ca="1" si="125"/>
        <v>38.77682343640614</v>
      </c>
      <c r="F287" s="304">
        <f t="shared" ca="1" si="126"/>
        <v>39.139213140879797</v>
      </c>
      <c r="G287" s="306">
        <f t="shared" ca="1" si="127"/>
        <v>24.684825814792255</v>
      </c>
      <c r="H287" s="307">
        <f t="shared" ca="1" si="128"/>
        <v>225.61003975910432</v>
      </c>
      <c r="I287" s="304">
        <f t="shared" ca="1" si="129"/>
        <v>226.9564510332572</v>
      </c>
      <c r="J287" s="306">
        <f t="shared" ca="1" si="130"/>
        <v>37.761787976178077</v>
      </c>
      <c r="K287" s="307">
        <f t="shared" ca="1" si="131"/>
        <v>364.82126897045742</v>
      </c>
      <c r="L287" s="304">
        <f t="shared" ca="1" si="116"/>
        <v>366.77037901713476</v>
      </c>
      <c r="M287" s="306">
        <f t="shared" ca="1" si="132"/>
        <v>1.461816142314641</v>
      </c>
      <c r="N287" s="304">
        <f t="shared" ca="1" si="133"/>
        <v>83.755895378724233</v>
      </c>
      <c r="P287" s="310">
        <f t="shared" ca="1" si="134"/>
        <v>7</v>
      </c>
      <c r="Q287" s="304">
        <f t="shared" ca="1" si="135"/>
        <v>446.61702127659908</v>
      </c>
      <c r="R287" s="306">
        <f t="shared" ca="1" si="136"/>
        <v>0.22413627432323965</v>
      </c>
      <c r="S287" s="307">
        <f t="shared" ca="1" si="137"/>
        <v>6.2411551121993973</v>
      </c>
      <c r="T287" s="304">
        <f t="shared" ca="1" si="117"/>
        <v>61.225731650676089</v>
      </c>
      <c r="U287" s="311">
        <f t="shared" ca="1" si="118"/>
        <v>0</v>
      </c>
      <c r="V287" s="306">
        <f t="shared" ca="1" si="119"/>
        <v>1.1811099949185657</v>
      </c>
      <c r="W287" s="304">
        <f t="shared" ca="1" si="120"/>
        <v>142.02834358401435</v>
      </c>
      <c r="Y287" s="314" t="str">
        <f t="shared" ca="1" si="138"/>
        <v/>
      </c>
      <c r="Z287" s="315" t="str">
        <f t="shared" ca="1" si="139"/>
        <v/>
      </c>
      <c r="AA287" s="316" t="str">
        <f t="shared" ca="1" si="140"/>
        <v/>
      </c>
      <c r="AC287" s="310" t="e">
        <f t="shared" ca="1" si="141"/>
        <v>#N/A</v>
      </c>
      <c r="AD287" s="323" t="e">
        <f t="shared" ca="1" si="142"/>
        <v>#N/A</v>
      </c>
      <c r="AE287" s="324">
        <f t="shared" ca="1" si="121"/>
        <v>364.82126897045742</v>
      </c>
      <c r="AG287" s="306">
        <f t="shared" ca="1" si="143"/>
        <v>39.124679363363725</v>
      </c>
      <c r="AH287" s="304">
        <f t="shared" ca="1" si="144"/>
        <v>48.876532007800094</v>
      </c>
    </row>
    <row r="288" spans="1:34" x14ac:dyDescent="0.2">
      <c r="A288" s="347">
        <f t="shared" ca="1" si="122"/>
        <v>0.01</v>
      </c>
      <c r="B288" s="304">
        <f t="shared" ca="1" si="123"/>
        <v>2.8399999999999834</v>
      </c>
      <c r="D288" s="306">
        <f t="shared" ca="1" si="124"/>
        <v>5.2743559328464169</v>
      </c>
      <c r="E288" s="307">
        <f t="shared" ca="1" si="125"/>
        <v>38.395632911538598</v>
      </c>
      <c r="F288" s="304">
        <f t="shared" ca="1" si="126"/>
        <v>38.756205402283364</v>
      </c>
      <c r="G288" s="306">
        <f t="shared" ca="1" si="127"/>
        <v>24.737569374120721</v>
      </c>
      <c r="H288" s="307">
        <f t="shared" ca="1" si="128"/>
        <v>225.99399608821972</v>
      </c>
      <c r="I288" s="304">
        <f t="shared" ca="1" si="129"/>
        <v>227.3438664368619</v>
      </c>
      <c r="J288" s="306">
        <f t="shared" ca="1" si="130"/>
        <v>38.00889995212264</v>
      </c>
      <c r="K288" s="307">
        <f t="shared" ca="1" si="131"/>
        <v>367.07928914969403</v>
      </c>
      <c r="L288" s="304">
        <f t="shared" ca="1" si="116"/>
        <v>369.0418417987521</v>
      </c>
      <c r="M288" s="306">
        <f t="shared" ca="1" si="132"/>
        <v>1.4617692098565394</v>
      </c>
      <c r="N288" s="304">
        <f t="shared" ca="1" si="133"/>
        <v>83.753206346952837</v>
      </c>
      <c r="P288" s="310">
        <f t="shared" ca="1" si="134"/>
        <v>7</v>
      </c>
      <c r="Q288" s="304">
        <f t="shared" ca="1" si="135"/>
        <v>444.57446808510974</v>
      </c>
      <c r="R288" s="306">
        <f t="shared" ca="1" si="136"/>
        <v>0.22311121204249884</v>
      </c>
      <c r="S288" s="307">
        <f t="shared" ca="1" si="137"/>
        <v>6.2389240000789723</v>
      </c>
      <c r="T288" s="304">
        <f t="shared" ca="1" si="117"/>
        <v>61.203844440774724</v>
      </c>
      <c r="U288" s="311">
        <f t="shared" ca="1" si="118"/>
        <v>0</v>
      </c>
      <c r="V288" s="306">
        <f t="shared" ca="1" si="119"/>
        <v>1.1808432387065013</v>
      </c>
      <c r="W288" s="304">
        <f t="shared" ca="1" si="120"/>
        <v>142.48145611770468</v>
      </c>
      <c r="Y288" s="314" t="str">
        <f t="shared" ca="1" si="138"/>
        <v/>
      </c>
      <c r="Z288" s="315" t="str">
        <f t="shared" ca="1" si="139"/>
        <v/>
      </c>
      <c r="AA288" s="316" t="str">
        <f t="shared" ca="1" si="140"/>
        <v/>
      </c>
      <c r="AC288" s="310" t="e">
        <f t="shared" ca="1" si="141"/>
        <v>#N/A</v>
      </c>
      <c r="AD288" s="323" t="e">
        <f t="shared" ca="1" si="142"/>
        <v>#N/A</v>
      </c>
      <c r="AE288" s="324">
        <f t="shared" ca="1" si="121"/>
        <v>367.07928914969403</v>
      </c>
      <c r="AG288" s="306">
        <f t="shared" ca="1" si="143"/>
        <v>38.741515322458469</v>
      </c>
      <c r="AH288" s="304">
        <f t="shared" ca="1" si="144"/>
        <v>48.493317837701781</v>
      </c>
    </row>
    <row r="289" spans="1:34" x14ac:dyDescent="0.2">
      <c r="A289" s="347">
        <f t="shared" ca="1" si="122"/>
        <v>0.01</v>
      </c>
      <c r="B289" s="304">
        <f t="shared" ca="1" si="123"/>
        <v>2.8499999999999832</v>
      </c>
      <c r="D289" s="306">
        <f t="shared" ca="1" si="124"/>
        <v>5.2349556412121068</v>
      </c>
      <c r="E289" s="307">
        <f t="shared" ca="1" si="125"/>
        <v>38.014769152128672</v>
      </c>
      <c r="F289" s="304">
        <f t="shared" ca="1" si="126"/>
        <v>38.373525173680513</v>
      </c>
      <c r="G289" s="306">
        <f t="shared" ca="1" si="127"/>
        <v>24.789918930532842</v>
      </c>
      <c r="H289" s="307">
        <f t="shared" ca="1" si="128"/>
        <v>226.37414377974099</v>
      </c>
      <c r="I289" s="304">
        <f t="shared" ca="1" si="129"/>
        <v>227.72745344510668</v>
      </c>
      <c r="J289" s="306">
        <f t="shared" ca="1" si="130"/>
        <v>38.256537393645907</v>
      </c>
      <c r="K289" s="307">
        <f t="shared" ca="1" si="131"/>
        <v>369.34112984903385</v>
      </c>
      <c r="L289" s="304">
        <f t="shared" ca="1" si="116"/>
        <v>371.31715938199289</v>
      </c>
      <c r="M289" s="306">
        <f t="shared" ca="1" si="132"/>
        <v>1.4617223363545808</v>
      </c>
      <c r="N289" s="304">
        <f t="shared" ca="1" si="133"/>
        <v>83.750520693119626</v>
      </c>
      <c r="P289" s="310">
        <f t="shared" ca="1" si="134"/>
        <v>7</v>
      </c>
      <c r="Q289" s="304">
        <f t="shared" ca="1" si="135"/>
        <v>442.53191489362047</v>
      </c>
      <c r="R289" s="306">
        <f t="shared" ca="1" si="136"/>
        <v>0.22208614976175803</v>
      </c>
      <c r="S289" s="307">
        <f t="shared" ca="1" si="137"/>
        <v>6.2367031385813547</v>
      </c>
      <c r="T289" s="304">
        <f t="shared" ca="1" si="117"/>
        <v>61.182057789483096</v>
      </c>
      <c r="U289" s="311">
        <f t="shared" ca="1" si="118"/>
        <v>0</v>
      </c>
      <c r="V289" s="306">
        <f t="shared" ca="1" si="119"/>
        <v>1.1805760904409361</v>
      </c>
      <c r="W289" s="304">
        <f t="shared" ca="1" si="120"/>
        <v>142.930323569742</v>
      </c>
      <c r="Y289" s="314" t="str">
        <f t="shared" ca="1" si="138"/>
        <v/>
      </c>
      <c r="Z289" s="315" t="str">
        <f t="shared" ca="1" si="139"/>
        <v/>
      </c>
      <c r="AA289" s="316" t="str">
        <f t="shared" ca="1" si="140"/>
        <v/>
      </c>
      <c r="AC289" s="310" t="e">
        <f t="shared" ca="1" si="141"/>
        <v>#N/A</v>
      </c>
      <c r="AD289" s="323" t="e">
        <f t="shared" ca="1" si="142"/>
        <v>#N/A</v>
      </c>
      <c r="AE289" s="324">
        <f t="shared" ca="1" si="121"/>
        <v>369.34112984903385</v>
      </c>
      <c r="AG289" s="306">
        <f t="shared" ca="1" si="143"/>
        <v>38.358675807194317</v>
      </c>
      <c r="AH289" s="304">
        <f t="shared" ca="1" si="144"/>
        <v>48.110428235673155</v>
      </c>
    </row>
    <row r="290" spans="1:34" x14ac:dyDescent="0.2">
      <c r="A290" s="347">
        <f t="shared" ca="1" si="122"/>
        <v>0.01</v>
      </c>
      <c r="B290" s="304">
        <f t="shared" ca="1" si="123"/>
        <v>2.859999999999983</v>
      </c>
      <c r="D290" s="306">
        <f t="shared" ca="1" si="124"/>
        <v>5.1955526986277789</v>
      </c>
      <c r="E290" s="307">
        <f t="shared" ca="1" si="125"/>
        <v>37.634237188116728</v>
      </c>
      <c r="F290" s="304">
        <f t="shared" ca="1" si="126"/>
        <v>37.991177615015388</v>
      </c>
      <c r="G290" s="306">
        <f t="shared" ca="1" si="127"/>
        <v>24.841874457519118</v>
      </c>
      <c r="H290" s="307">
        <f t="shared" ca="1" si="128"/>
        <v>226.75048615162217</v>
      </c>
      <c r="I290" s="304">
        <f t="shared" ca="1" si="129"/>
        <v>228.10721535400876</v>
      </c>
      <c r="J290" s="306">
        <f t="shared" ca="1" si="130"/>
        <v>38.504696360586166</v>
      </c>
      <c r="K290" s="307">
        <f t="shared" ca="1" si="131"/>
        <v>371.60675299869064</v>
      </c>
      <c r="L290" s="304">
        <f t="shared" ca="1" si="116"/>
        <v>373.59629349881243</v>
      </c>
      <c r="M290" s="306">
        <f t="shared" ca="1" si="132"/>
        <v>1.4616755208507635</v>
      </c>
      <c r="N290" s="304">
        <f t="shared" ca="1" si="133"/>
        <v>83.747838362335102</v>
      </c>
      <c r="P290" s="310">
        <f t="shared" ca="1" si="134"/>
        <v>7</v>
      </c>
      <c r="Q290" s="304">
        <f t="shared" ca="1" si="135"/>
        <v>440.48936170213113</v>
      </c>
      <c r="R290" s="306">
        <f t="shared" ca="1" si="136"/>
        <v>0.22106108748101722</v>
      </c>
      <c r="S290" s="307">
        <f t="shared" ca="1" si="137"/>
        <v>6.2344925277065446</v>
      </c>
      <c r="T290" s="304">
        <f t="shared" ca="1" si="117"/>
        <v>61.160371696801207</v>
      </c>
      <c r="U290" s="311">
        <f t="shared" ca="1" si="118"/>
        <v>0</v>
      </c>
      <c r="V290" s="306">
        <f t="shared" ca="1" si="119"/>
        <v>1.1803085548977243</v>
      </c>
      <c r="W290" s="304">
        <f t="shared" ca="1" si="120"/>
        <v>143.37492860631039</v>
      </c>
      <c r="Y290" s="314" t="str">
        <f t="shared" ca="1" si="138"/>
        <v/>
      </c>
      <c r="Z290" s="315" t="str">
        <f t="shared" ca="1" si="139"/>
        <v/>
      </c>
      <c r="AA290" s="316" t="str">
        <f t="shared" ca="1" si="140"/>
        <v/>
      </c>
      <c r="AC290" s="310" t="e">
        <f t="shared" ca="1" si="141"/>
        <v>#N/A</v>
      </c>
      <c r="AD290" s="323" t="e">
        <f t="shared" ca="1" si="142"/>
        <v>#N/A</v>
      </c>
      <c r="AE290" s="324">
        <f t="shared" ca="1" si="121"/>
        <v>371.60675299869064</v>
      </c>
      <c r="AG290" s="306">
        <f t="shared" ca="1" si="143"/>
        <v>37.976165893176088</v>
      </c>
      <c r="AH290" s="304">
        <f t="shared" ca="1" si="144"/>
        <v>47.727868276369698</v>
      </c>
    </row>
    <row r="291" spans="1:34" x14ac:dyDescent="0.2">
      <c r="A291" s="347">
        <f t="shared" ca="1" si="122"/>
        <v>0.01</v>
      </c>
      <c r="B291" s="304">
        <f t="shared" ca="1" si="123"/>
        <v>2.8699999999999828</v>
      </c>
      <c r="D291" s="306">
        <f t="shared" ca="1" si="124"/>
        <v>5.1561478105035619</v>
      </c>
      <c r="E291" s="307">
        <f t="shared" ca="1" si="125"/>
        <v>37.254041994923817</v>
      </c>
      <c r="F291" s="304">
        <f t="shared" ca="1" si="126"/>
        <v>37.609167834496262</v>
      </c>
      <c r="G291" s="306">
        <f t="shared" ca="1" si="127"/>
        <v>24.893435935624154</v>
      </c>
      <c r="H291" s="307">
        <f t="shared" ca="1" si="128"/>
        <v>227.12302657157142</v>
      </c>
      <c r="I291" s="304">
        <f t="shared" ca="1" si="129"/>
        <v>228.48315550979194</v>
      </c>
      <c r="J291" s="306">
        <f t="shared" ca="1" si="130"/>
        <v>38.753372912551882</v>
      </c>
      <c r="K291" s="307">
        <f t="shared" ca="1" si="131"/>
        <v>373.8761205623066</v>
      </c>
      <c r="L291" s="304">
        <f t="shared" ca="1" si="116"/>
        <v>375.87920591437319</v>
      </c>
      <c r="M291" s="306">
        <f t="shared" ca="1" si="132"/>
        <v>1.4616287623950504</v>
      </c>
      <c r="N291" s="304">
        <f t="shared" ca="1" si="133"/>
        <v>83.745159300166193</v>
      </c>
      <c r="P291" s="310">
        <f t="shared" ca="1" si="134"/>
        <v>7</v>
      </c>
      <c r="Q291" s="304">
        <f t="shared" ca="1" si="135"/>
        <v>438.44680851064186</v>
      </c>
      <c r="R291" s="306">
        <f t="shared" ca="1" si="136"/>
        <v>0.22003602520027643</v>
      </c>
      <c r="S291" s="307">
        <f t="shared" ca="1" si="137"/>
        <v>6.232292167454542</v>
      </c>
      <c r="T291" s="304">
        <f t="shared" ca="1" si="117"/>
        <v>61.138786162729062</v>
      </c>
      <c r="U291" s="311">
        <f t="shared" ca="1" si="118"/>
        <v>0</v>
      </c>
      <c r="V291" s="306">
        <f t="shared" ca="1" si="119"/>
        <v>1.1800406368450833</v>
      </c>
      <c r="W291" s="304">
        <f t="shared" ca="1" si="120"/>
        <v>143.81525425929968</v>
      </c>
      <c r="Y291" s="314" t="str">
        <f t="shared" ca="1" si="138"/>
        <v/>
      </c>
      <c r="Z291" s="315" t="str">
        <f t="shared" ca="1" si="139"/>
        <v/>
      </c>
      <c r="AA291" s="316" t="str">
        <f t="shared" ca="1" si="140"/>
        <v/>
      </c>
      <c r="AC291" s="310" t="e">
        <f t="shared" ca="1" si="141"/>
        <v>#N/A</v>
      </c>
      <c r="AD291" s="323" t="e">
        <f t="shared" ca="1" si="142"/>
        <v>#N/A</v>
      </c>
      <c r="AE291" s="324">
        <f t="shared" ca="1" si="121"/>
        <v>373.8761205623066</v>
      </c>
      <c r="AG291" s="306">
        <f t="shared" ca="1" si="143"/>
        <v>37.59399060107004</v>
      </c>
      <c r="AH291" s="304">
        <f t="shared" ca="1" si="144"/>
        <v>47.345642979515162</v>
      </c>
    </row>
    <row r="292" spans="1:34" x14ac:dyDescent="0.2">
      <c r="A292" s="347">
        <f t="shared" ca="1" si="122"/>
        <v>0.01</v>
      </c>
      <c r="B292" s="304">
        <f t="shared" ca="1" si="123"/>
        <v>2.8799999999999826</v>
      </c>
      <c r="D292" s="306">
        <f t="shared" ca="1" si="124"/>
        <v>5.1167416752568062</v>
      </c>
      <c r="E292" s="307">
        <f t="shared" ca="1" si="125"/>
        <v>36.874188493486898</v>
      </c>
      <c r="F292" s="304">
        <f t="shared" ca="1" si="126"/>
        <v>37.227500888785315</v>
      </c>
      <c r="G292" s="306">
        <f t="shared" ca="1" si="127"/>
        <v>24.944603352376724</v>
      </c>
      <c r="H292" s="307">
        <f t="shared" ca="1" si="128"/>
        <v>227.49176845650629</v>
      </c>
      <c r="I292" s="304">
        <f t="shared" ca="1" si="129"/>
        <v>228.85527730833752</v>
      </c>
      <c r="J292" s="306">
        <f t="shared" ca="1" si="130"/>
        <v>39.002563108991886</v>
      </c>
      <c r="K292" s="307">
        <f t="shared" ca="1" si="131"/>
        <v>376.14919453744699</v>
      </c>
      <c r="L292" s="304">
        <f t="shared" ca="1" si="116"/>
        <v>378.1658584275437</v>
      </c>
      <c r="M292" s="306">
        <f t="shared" ca="1" si="132"/>
        <v>1.4615820600452327</v>
      </c>
      <c r="N292" s="304">
        <f t="shared" ca="1" si="133"/>
        <v>83.742483452628306</v>
      </c>
      <c r="P292" s="310">
        <f t="shared" ca="1" si="134"/>
        <v>7</v>
      </c>
      <c r="Q292" s="304">
        <f t="shared" ca="1" si="135"/>
        <v>436.40425531915253</v>
      </c>
      <c r="R292" s="306">
        <f t="shared" ca="1" si="136"/>
        <v>0.21901096291953562</v>
      </c>
      <c r="S292" s="307">
        <f t="shared" ca="1" si="137"/>
        <v>6.2301020578253468</v>
      </c>
      <c r="T292" s="304">
        <f t="shared" ca="1" si="117"/>
        <v>61.117301187266655</v>
      </c>
      <c r="U292" s="311">
        <f t="shared" ca="1" si="118"/>
        <v>0</v>
      </c>
      <c r="V292" s="306">
        <f t="shared" ca="1" si="119"/>
        <v>1.1797723410435272</v>
      </c>
      <c r="W292" s="304">
        <f t="shared" ca="1" si="120"/>
        <v>144.25128392493576</v>
      </c>
      <c r="Y292" s="314" t="str">
        <f t="shared" ca="1" si="138"/>
        <v/>
      </c>
      <c r="Z292" s="315" t="str">
        <f t="shared" ca="1" si="139"/>
        <v/>
      </c>
      <c r="AA292" s="316" t="str">
        <f t="shared" ca="1" si="140"/>
        <v/>
      </c>
      <c r="AC292" s="310" t="e">
        <f t="shared" ca="1" si="141"/>
        <v>#N/A</v>
      </c>
      <c r="AD292" s="323" t="e">
        <f t="shared" ca="1" si="142"/>
        <v>#N/A</v>
      </c>
      <c r="AE292" s="324">
        <f t="shared" ca="1" si="121"/>
        <v>376.14919453744699</v>
      </c>
      <c r="AG292" s="306">
        <f t="shared" ca="1" si="143"/>
        <v>37.212154896640172</v>
      </c>
      <c r="AH292" s="304">
        <f t="shared" ca="1" si="144"/>
        <v>46.963757309937677</v>
      </c>
    </row>
    <row r="293" spans="1:34" x14ac:dyDescent="0.2">
      <c r="A293" s="347">
        <f t="shared" ca="1" si="122"/>
        <v>0.01</v>
      </c>
      <c r="B293" s="304">
        <f t="shared" ca="1" si="123"/>
        <v>2.8899999999999824</v>
      </c>
      <c r="D293" s="306">
        <f t="shared" ca="1" si="124"/>
        <v>5.077334984325665</v>
      </c>
      <c r="E293" s="307">
        <f t="shared" ca="1" si="125"/>
        <v>36.494681550299312</v>
      </c>
      <c r="F293" s="304">
        <f t="shared" ca="1" si="126"/>
        <v>36.846181783202645</v>
      </c>
      <c r="G293" s="306">
        <f t="shared" ca="1" si="127"/>
        <v>24.995376702219982</v>
      </c>
      <c r="H293" s="307">
        <f t="shared" ca="1" si="128"/>
        <v>227.8567152720093</v>
      </c>
      <c r="I293" s="304">
        <f t="shared" ca="1" si="129"/>
        <v>229.22358419463603</v>
      </c>
      <c r="J293" s="306">
        <f t="shared" ca="1" si="130"/>
        <v>39.252263009264873</v>
      </c>
      <c r="K293" s="307">
        <f t="shared" ca="1" si="131"/>
        <v>378.42593695608957</v>
      </c>
      <c r="L293" s="304">
        <f t="shared" ca="1" si="116"/>
        <v>380.45621287139312</v>
      </c>
      <c r="M293" s="306">
        <f t="shared" ca="1" si="132"/>
        <v>1.4615354128667941</v>
      </c>
      <c r="N293" s="304">
        <f t="shared" ca="1" si="133"/>
        <v>83.73981076617757</v>
      </c>
      <c r="P293" s="310">
        <f t="shared" ca="1" si="134"/>
        <v>7</v>
      </c>
      <c r="Q293" s="304">
        <f t="shared" ca="1" si="135"/>
        <v>434.36170212766319</v>
      </c>
      <c r="R293" s="306">
        <f t="shared" ca="1" si="136"/>
        <v>0.21798590063879481</v>
      </c>
      <c r="S293" s="307">
        <f t="shared" ca="1" si="137"/>
        <v>6.227922198818959</v>
      </c>
      <c r="T293" s="304">
        <f t="shared" ca="1" si="117"/>
        <v>61.095916770413993</v>
      </c>
      <c r="U293" s="311">
        <f t="shared" ca="1" si="118"/>
        <v>0</v>
      </c>
      <c r="V293" s="306">
        <f t="shared" ca="1" si="119"/>
        <v>1.1795036722458014</v>
      </c>
      <c r="W293" s="304">
        <f t="shared" ca="1" si="120"/>
        <v>144.68300136238824</v>
      </c>
      <c r="Y293" s="314" t="str">
        <f t="shared" ca="1" si="138"/>
        <v/>
      </c>
      <c r="Z293" s="315" t="str">
        <f t="shared" ca="1" si="139"/>
        <v/>
      </c>
      <c r="AA293" s="316" t="str">
        <f t="shared" ca="1" si="140"/>
        <v/>
      </c>
      <c r="AC293" s="310" t="e">
        <f t="shared" ca="1" si="141"/>
        <v>#N/A</v>
      </c>
      <c r="AD293" s="323" t="e">
        <f t="shared" ca="1" si="142"/>
        <v>#N/A</v>
      </c>
      <c r="AE293" s="324">
        <f t="shared" ca="1" si="121"/>
        <v>378.42593695608957</v>
      </c>
      <c r="AG293" s="306">
        <f t="shared" ca="1" si="143"/>
        <v>36.830663690789606</v>
      </c>
      <c r="AH293" s="304">
        <f t="shared" ca="1" si="144"/>
        <v>46.582216177611038</v>
      </c>
    </row>
    <row r="294" spans="1:34" x14ac:dyDescent="0.2">
      <c r="A294" s="347">
        <f t="shared" ca="1" si="122"/>
        <v>0.01</v>
      </c>
      <c r="B294" s="304">
        <f t="shared" ca="1" si="123"/>
        <v>2.8999999999999821</v>
      </c>
      <c r="D294" s="306">
        <f t="shared" ca="1" si="124"/>
        <v>5.0379284221829748</v>
      </c>
      <c r="E294" s="307">
        <f t="shared" ca="1" si="125"/>
        <v>36.115525977456279</v>
      </c>
      <c r="F294" s="304">
        <f t="shared" ca="1" si="126"/>
        <v>36.465215471944745</v>
      </c>
      <c r="G294" s="306">
        <f t="shared" ca="1" si="127"/>
        <v>25.045755986441812</v>
      </c>
      <c r="H294" s="307">
        <f t="shared" ca="1" si="128"/>
        <v>228.21787053178386</v>
      </c>
      <c r="I294" s="304">
        <f t="shared" ca="1" si="129"/>
        <v>229.58807966223864</v>
      </c>
      <c r="J294" s="306">
        <f t="shared" ca="1" si="130"/>
        <v>39.502468672708183</v>
      </c>
      <c r="K294" s="307">
        <f t="shared" ca="1" si="131"/>
        <v>380.70630988510851</v>
      </c>
      <c r="L294" s="304">
        <f t="shared" ca="1" si="116"/>
        <v>382.75023111367881</v>
      </c>
      <c r="M294" s="306">
        <f t="shared" ca="1" si="132"/>
        <v>1.4614888199327773</v>
      </c>
      <c r="N294" s="304">
        <f t="shared" ca="1" si="133"/>
        <v>83.737141187703287</v>
      </c>
      <c r="P294" s="310">
        <f t="shared" ca="1" si="134"/>
        <v>7</v>
      </c>
      <c r="Q294" s="304">
        <f t="shared" ca="1" si="135"/>
        <v>432.31914893617386</v>
      </c>
      <c r="R294" s="306">
        <f t="shared" ca="1" si="136"/>
        <v>0.21696083835805396</v>
      </c>
      <c r="S294" s="307">
        <f t="shared" ca="1" si="137"/>
        <v>6.2257525904353788</v>
      </c>
      <c r="T294" s="304">
        <f t="shared" ca="1" si="117"/>
        <v>61.074632912171069</v>
      </c>
      <c r="U294" s="311">
        <f t="shared" ca="1" si="118"/>
        <v>0</v>
      </c>
      <c r="V294" s="306">
        <f t="shared" ca="1" si="119"/>
        <v>1.1792346351968128</v>
      </c>
      <c r="W294" s="304">
        <f t="shared" ca="1" si="120"/>
        <v>145.11039069235349</v>
      </c>
      <c r="Y294" s="314" t="str">
        <f t="shared" ca="1" si="138"/>
        <v/>
      </c>
      <c r="Z294" s="315" t="str">
        <f t="shared" ca="1" si="139"/>
        <v/>
      </c>
      <c r="AA294" s="316" t="str">
        <f t="shared" ca="1" si="140"/>
        <v/>
      </c>
      <c r="AC294" s="310" t="e">
        <f t="shared" ca="1" si="141"/>
        <v>#N/A</v>
      </c>
      <c r="AD294" s="323" t="e">
        <f t="shared" ca="1" si="142"/>
        <v>#N/A</v>
      </c>
      <c r="AE294" s="324">
        <f t="shared" ca="1" si="121"/>
        <v>380.70630988510851</v>
      </c>
      <c r="AG294" s="306">
        <f t="shared" ca="1" si="143"/>
        <v>36.449521839607058</v>
      </c>
      <c r="AH294" s="304">
        <f t="shared" ca="1" si="144"/>
        <v>46.201024437701058</v>
      </c>
    </row>
    <row r="295" spans="1:34" x14ac:dyDescent="0.2">
      <c r="A295" s="347">
        <f t="shared" ca="1" si="122"/>
        <v>0.01</v>
      </c>
      <c r="B295" s="304">
        <f t="shared" ca="1" si="123"/>
        <v>2.9099999999999819</v>
      </c>
      <c r="D295" s="306">
        <f t="shared" ca="1" si="124"/>
        <v>4.9985226663503957</v>
      </c>
      <c r="E295" s="307">
        <f t="shared" ca="1" si="125"/>
        <v>35.736726532705646</v>
      </c>
      <c r="F295" s="304">
        <f t="shared" ca="1" si="126"/>
        <v>36.084606858318494</v>
      </c>
      <c r="G295" s="306">
        <f t="shared" ca="1" si="127"/>
        <v>25.095741213105317</v>
      </c>
      <c r="H295" s="307">
        <f t="shared" ca="1" si="128"/>
        <v>228.57523779711093</v>
      </c>
      <c r="I295" s="304">
        <f t="shared" ca="1" si="129"/>
        <v>229.9487672527099</v>
      </c>
      <c r="J295" s="306">
        <f t="shared" ca="1" si="130"/>
        <v>39.753176158705919</v>
      </c>
      <c r="K295" s="307">
        <f t="shared" ca="1" si="131"/>
        <v>382.99027542675299</v>
      </c>
      <c r="L295" s="304">
        <f t="shared" ca="1" si="116"/>
        <v>385.04787505733003</v>
      </c>
      <c r="M295" s="306">
        <f t="shared" ca="1" si="132"/>
        <v>1.4614422803236544</v>
      </c>
      <c r="N295" s="304">
        <f t="shared" ca="1" si="133"/>
        <v>83.734474664520349</v>
      </c>
      <c r="P295" s="310">
        <f t="shared" ca="1" si="134"/>
        <v>7</v>
      </c>
      <c r="Q295" s="304">
        <f t="shared" ca="1" si="135"/>
        <v>430.27659574468453</v>
      </c>
      <c r="R295" s="306">
        <f t="shared" ca="1" si="136"/>
        <v>0.21593577607731315</v>
      </c>
      <c r="S295" s="307">
        <f t="shared" ca="1" si="137"/>
        <v>6.223593232674606</v>
      </c>
      <c r="T295" s="304">
        <f t="shared" ca="1" si="117"/>
        <v>61.053449612537889</v>
      </c>
      <c r="U295" s="311">
        <f t="shared" ca="1" si="118"/>
        <v>0</v>
      </c>
      <c r="V295" s="306">
        <f t="shared" ca="1" si="119"/>
        <v>1.1789652346335677</v>
      </c>
      <c r="W295" s="304">
        <f t="shared" ca="1" si="120"/>
        <v>145.53343639561794</v>
      </c>
      <c r="Y295" s="314" t="str">
        <f t="shared" ca="1" si="138"/>
        <v/>
      </c>
      <c r="Z295" s="315" t="str">
        <f t="shared" ca="1" si="139"/>
        <v/>
      </c>
      <c r="AA295" s="316" t="str">
        <f t="shared" ca="1" si="140"/>
        <v/>
      </c>
      <c r="AC295" s="310" t="e">
        <f t="shared" ca="1" si="141"/>
        <v>#N/A</v>
      </c>
      <c r="AD295" s="323" t="e">
        <f t="shared" ca="1" si="142"/>
        <v>#N/A</v>
      </c>
      <c r="AE295" s="324">
        <f t="shared" ca="1" si="121"/>
        <v>382.99027542675299</v>
      </c>
      <c r="AG295" s="306">
        <f t="shared" ca="1" si="143"/>
        <v>36.068734144418627</v>
      </c>
      <c r="AH295" s="304">
        <f t="shared" ca="1" si="144"/>
        <v>45.820186890617229</v>
      </c>
    </row>
    <row r="296" spans="1:34" x14ac:dyDescent="0.2">
      <c r="A296" s="347">
        <f t="shared" ca="1" si="122"/>
        <v>0.01</v>
      </c>
      <c r="B296" s="304">
        <f t="shared" ca="1" si="123"/>
        <v>2.9199999999999817</v>
      </c>
      <c r="D296" s="306">
        <f t="shared" ca="1" si="124"/>
        <v>4.9591183874127305</v>
      </c>
      <c r="E296" s="307">
        <f t="shared" ca="1" si="125"/>
        <v>35.358287919503461</v>
      </c>
      <c r="F296" s="304">
        <f t="shared" ca="1" si="126"/>
        <v>35.704360794990848</v>
      </c>
      <c r="G296" s="306">
        <f t="shared" ca="1" si="127"/>
        <v>25.145332396979445</v>
      </c>
      <c r="H296" s="307">
        <f t="shared" ca="1" si="128"/>
        <v>228.92882067630597</v>
      </c>
      <c r="I296" s="304">
        <f t="shared" ca="1" si="129"/>
        <v>230.30565055508049</v>
      </c>
      <c r="J296" s="306">
        <f t="shared" ca="1" si="130"/>
        <v>40.00438152675634</v>
      </c>
      <c r="K296" s="307">
        <f t="shared" ca="1" si="131"/>
        <v>385.27779571912009</v>
      </c>
      <c r="L296" s="304">
        <f t="shared" ca="1" si="116"/>
        <v>387.34910664092456</v>
      </c>
      <c r="M296" s="306">
        <f t="shared" ca="1" si="132"/>
        <v>1.4613957931271968</v>
      </c>
      <c r="N296" s="304">
        <f t="shared" ca="1" si="133"/>
        <v>83.731811144361942</v>
      </c>
      <c r="P296" s="310">
        <f t="shared" ca="1" si="134"/>
        <v>7</v>
      </c>
      <c r="Q296" s="304">
        <f t="shared" ca="1" si="135"/>
        <v>428.23404255319525</v>
      </c>
      <c r="R296" s="306">
        <f t="shared" ca="1" si="136"/>
        <v>0.21491071379657237</v>
      </c>
      <c r="S296" s="307">
        <f t="shared" ca="1" si="137"/>
        <v>6.2214441255366406</v>
      </c>
      <c r="T296" s="304">
        <f t="shared" ca="1" si="117"/>
        <v>61.032366871514448</v>
      </c>
      <c r="U296" s="311">
        <f t="shared" ca="1" si="118"/>
        <v>0</v>
      </c>
      <c r="V296" s="306">
        <f t="shared" ca="1" si="119"/>
        <v>1.1786954752851067</v>
      </c>
      <c r="W296" s="304">
        <f t="shared" ca="1" si="120"/>
        <v>145.952123311598</v>
      </c>
      <c r="Y296" s="314" t="str">
        <f t="shared" ca="1" si="138"/>
        <v/>
      </c>
      <c r="Z296" s="315" t="str">
        <f t="shared" ca="1" si="139"/>
        <v/>
      </c>
      <c r="AA296" s="316" t="str">
        <f t="shared" ca="1" si="140"/>
        <v/>
      </c>
      <c r="AC296" s="310" t="e">
        <f t="shared" ca="1" si="141"/>
        <v>#N/A</v>
      </c>
      <c r="AD296" s="323" t="e">
        <f t="shared" ca="1" si="142"/>
        <v>#N/A</v>
      </c>
      <c r="AE296" s="324">
        <f t="shared" ca="1" si="121"/>
        <v>385.27779571912009</v>
      </c>
      <c r="AG296" s="306">
        <f t="shared" ca="1" si="143"/>
        <v>35.688305351844278</v>
      </c>
      <c r="AH296" s="304">
        <f t="shared" ca="1" si="144"/>
        <v>45.439708282069084</v>
      </c>
    </row>
    <row r="297" spans="1:34" x14ac:dyDescent="0.2">
      <c r="A297" s="347">
        <f t="shared" ca="1" si="122"/>
        <v>0.01</v>
      </c>
      <c r="B297" s="304">
        <f t="shared" ca="1" si="123"/>
        <v>2.9299999999999815</v>
      </c>
      <c r="D297" s="306">
        <f t="shared" ca="1" si="124"/>
        <v>4.9197162490326196</v>
      </c>
      <c r="E297" s="307">
        <f t="shared" ca="1" si="125"/>
        <v>34.980214787074701</v>
      </c>
      <c r="F297" s="304">
        <f t="shared" ca="1" si="126"/>
        <v>35.324482084255322</v>
      </c>
      <c r="G297" s="306">
        <f t="shared" ca="1" si="127"/>
        <v>25.194529559469771</v>
      </c>
      <c r="H297" s="307">
        <f t="shared" ca="1" si="128"/>
        <v>229.27862282417672</v>
      </c>
      <c r="I297" s="304">
        <f t="shared" ca="1" si="129"/>
        <v>230.65873320530071</v>
      </c>
      <c r="J297" s="306">
        <f t="shared" ca="1" si="130"/>
        <v>40.256080836538587</v>
      </c>
      <c r="K297" s="307">
        <f t="shared" ca="1" si="131"/>
        <v>387.56883293662253</v>
      </c>
      <c r="L297" s="304">
        <f t="shared" ca="1" si="116"/>
        <v>389.65388783916114</v>
      </c>
      <c r="M297" s="306">
        <f t="shared" ca="1" si="132"/>
        <v>1.46134935743835</v>
      </c>
      <c r="N297" s="304">
        <f t="shared" ca="1" si="133"/>
        <v>83.72915057537223</v>
      </c>
      <c r="P297" s="310">
        <f t="shared" ca="1" si="134"/>
        <v>7</v>
      </c>
      <c r="Q297" s="304">
        <f t="shared" ca="1" si="135"/>
        <v>426.19148936170592</v>
      </c>
      <c r="R297" s="306">
        <f t="shared" ca="1" si="136"/>
        <v>0.21388565151583155</v>
      </c>
      <c r="S297" s="307">
        <f t="shared" ca="1" si="137"/>
        <v>6.2193052690214827</v>
      </c>
      <c r="T297" s="304">
        <f t="shared" ca="1" si="117"/>
        <v>61.011384689100751</v>
      </c>
      <c r="U297" s="311">
        <f t="shared" ca="1" si="118"/>
        <v>0</v>
      </c>
      <c r="V297" s="306">
        <f t="shared" ca="1" si="119"/>
        <v>1.1784253618724407</v>
      </c>
      <c r="W297" s="304">
        <f t="shared" ca="1" si="120"/>
        <v>146.36643663685916</v>
      </c>
      <c r="Y297" s="314" t="str">
        <f t="shared" ca="1" si="138"/>
        <v/>
      </c>
      <c r="Z297" s="315" t="str">
        <f t="shared" ca="1" si="139"/>
        <v/>
      </c>
      <c r="AA297" s="316" t="str">
        <f t="shared" ca="1" si="140"/>
        <v/>
      </c>
      <c r="AC297" s="310" t="e">
        <f t="shared" ca="1" si="141"/>
        <v>#N/A</v>
      </c>
      <c r="AD297" s="323" t="e">
        <f t="shared" ca="1" si="142"/>
        <v>#N/A</v>
      </c>
      <c r="AE297" s="324">
        <f t="shared" ca="1" si="121"/>
        <v>387.56883293662253</v>
      </c>
      <c r="AG297" s="306">
        <f t="shared" ca="1" si="143"/>
        <v>35.308240153859551</v>
      </c>
      <c r="AH297" s="304">
        <f t="shared" ca="1" si="144"/>
        <v>45.059593303127819</v>
      </c>
    </row>
    <row r="298" spans="1:34" x14ac:dyDescent="0.2">
      <c r="A298" s="347">
        <f t="shared" ca="1" si="122"/>
        <v>0.01</v>
      </c>
      <c r="B298" s="304">
        <f t="shared" ca="1" si="123"/>
        <v>2.9399999999999813</v>
      </c>
      <c r="D298" s="306">
        <f t="shared" ca="1" si="124"/>
        <v>4.8803169079653745</v>
      </c>
      <c r="E298" s="307">
        <f t="shared" ca="1" si="125"/>
        <v>34.602511730478795</v>
      </c>
      <c r="F298" s="304">
        <f t="shared" ca="1" si="126"/>
        <v>34.94497547831584</v>
      </c>
      <c r="G298" s="306">
        <f t="shared" ca="1" si="127"/>
        <v>25.243332728549426</v>
      </c>
      <c r="H298" s="307">
        <f t="shared" ca="1" si="128"/>
        <v>229.6246479414815</v>
      </c>
      <c r="I298" s="304">
        <f t="shared" ca="1" si="129"/>
        <v>231.00801888569492</v>
      </c>
      <c r="J298" s="306">
        <f t="shared" ca="1" si="130"/>
        <v>40.508270147978685</v>
      </c>
      <c r="K298" s="307">
        <f t="shared" ca="1" si="131"/>
        <v>389.8633492904508</v>
      </c>
      <c r="L298" s="304">
        <f t="shared" ca="1" si="116"/>
        <v>391.9621806633258</v>
      </c>
      <c r="M298" s="306">
        <f t="shared" ca="1" si="132"/>
        <v>1.4613029723591087</v>
      </c>
      <c r="N298" s="304">
        <f t="shared" ca="1" si="133"/>
        <v>83.726492906099324</v>
      </c>
      <c r="P298" s="310">
        <f t="shared" ca="1" si="134"/>
        <v>7</v>
      </c>
      <c r="Q298" s="304">
        <f t="shared" ca="1" si="135"/>
        <v>424.14893617021659</v>
      </c>
      <c r="R298" s="306">
        <f t="shared" ca="1" si="136"/>
        <v>0.21286058923509071</v>
      </c>
      <c r="S298" s="307">
        <f t="shared" ca="1" si="137"/>
        <v>6.2171766631291314</v>
      </c>
      <c r="T298" s="304">
        <f t="shared" ca="1" si="117"/>
        <v>60.990503065296785</v>
      </c>
      <c r="U298" s="311">
        <f t="shared" ca="1" si="118"/>
        <v>0</v>
      </c>
      <c r="V298" s="306">
        <f t="shared" ca="1" si="119"/>
        <v>1.1781548991084905</v>
      </c>
      <c r="W298" s="304">
        <f t="shared" ca="1" si="120"/>
        <v>146.77636192361473</v>
      </c>
      <c r="Y298" s="314" t="str">
        <f t="shared" ca="1" si="138"/>
        <v/>
      </c>
      <c r="Z298" s="315" t="str">
        <f t="shared" ca="1" si="139"/>
        <v/>
      </c>
      <c r="AA298" s="316" t="str">
        <f t="shared" ca="1" si="140"/>
        <v/>
      </c>
      <c r="AC298" s="310" t="e">
        <f t="shared" ca="1" si="141"/>
        <v>#N/A</v>
      </c>
      <c r="AD298" s="323" t="e">
        <f t="shared" ca="1" si="142"/>
        <v>#N/A</v>
      </c>
      <c r="AE298" s="324">
        <f t="shared" ca="1" si="121"/>
        <v>389.8633492904508</v>
      </c>
      <c r="AG298" s="306">
        <f t="shared" ca="1" si="143"/>
        <v>34.928543187862118</v>
      </c>
      <c r="AH298" s="304">
        <f t="shared" ca="1" si="144"/>
        <v>44.679846590292691</v>
      </c>
    </row>
    <row r="299" spans="1:34" x14ac:dyDescent="0.2">
      <c r="A299" s="347">
        <f t="shared" ca="1" si="122"/>
        <v>0.01</v>
      </c>
      <c r="B299" s="304">
        <f t="shared" ca="1" si="123"/>
        <v>2.9499999999999811</v>
      </c>
      <c r="D299" s="306">
        <f t="shared" ca="1" si="124"/>
        <v>4.8409210140741425</v>
      </c>
      <c r="E299" s="307">
        <f t="shared" ca="1" si="125"/>
        <v>34.225183290679936</v>
      </c>
      <c r="F299" s="304">
        <f t="shared" ca="1" si="126"/>
        <v>34.565845679588712</v>
      </c>
      <c r="G299" s="306">
        <f t="shared" ca="1" si="127"/>
        <v>25.291741938690166</v>
      </c>
      <c r="H299" s="307">
        <f t="shared" ca="1" si="128"/>
        <v>229.96689977438831</v>
      </c>
      <c r="I299" s="304">
        <f t="shared" ca="1" si="129"/>
        <v>231.35351132441639</v>
      </c>
      <c r="J299" s="306">
        <f t="shared" ca="1" si="130"/>
        <v>40.760945521314881</v>
      </c>
      <c r="K299" s="307">
        <f t="shared" ca="1" si="131"/>
        <v>392.16130702903013</v>
      </c>
      <c r="L299" s="304">
        <f t="shared" ca="1" si="116"/>
        <v>394.27394716175303</v>
      </c>
      <c r="M299" s="306">
        <f t="shared" ca="1" si="132"/>
        <v>1.4612566369983948</v>
      </c>
      <c r="N299" s="304">
        <f t="shared" ca="1" si="133"/>
        <v>83.723838085488197</v>
      </c>
      <c r="P299" s="310">
        <f t="shared" ca="1" si="134"/>
        <v>7</v>
      </c>
      <c r="Q299" s="304">
        <f t="shared" ca="1" si="135"/>
        <v>422.10638297872731</v>
      </c>
      <c r="R299" s="306">
        <f t="shared" ca="1" si="136"/>
        <v>0.21183552695434993</v>
      </c>
      <c r="S299" s="307">
        <f t="shared" ca="1" si="137"/>
        <v>6.2150583078595876</v>
      </c>
      <c r="T299" s="304">
        <f t="shared" ca="1" si="117"/>
        <v>60.969722000102557</v>
      </c>
      <c r="U299" s="311">
        <f t="shared" ca="1" si="118"/>
        <v>0</v>
      </c>
      <c r="V299" s="306">
        <f t="shared" ca="1" si="119"/>
        <v>1.1778840916980222</v>
      </c>
      <c r="W299" s="304">
        <f t="shared" ca="1" si="120"/>
        <v>147.18188507820332</v>
      </c>
      <c r="Y299" s="314" t="str">
        <f t="shared" ca="1" si="138"/>
        <v/>
      </c>
      <c r="Z299" s="315" t="str">
        <f t="shared" ca="1" si="139"/>
        <v/>
      </c>
      <c r="AA299" s="316" t="str">
        <f t="shared" ca="1" si="140"/>
        <v/>
      </c>
      <c r="AC299" s="310" t="e">
        <f t="shared" ca="1" si="141"/>
        <v>#N/A</v>
      </c>
      <c r="AD299" s="323" t="e">
        <f t="shared" ca="1" si="142"/>
        <v>#N/A</v>
      </c>
      <c r="AE299" s="324">
        <f t="shared" ca="1" si="121"/>
        <v>392.16130702903013</v>
      </c>
      <c r="AG299" s="306">
        <f t="shared" ca="1" si="143"/>
        <v>34.549219036743082</v>
      </c>
      <c r="AH299" s="304">
        <f t="shared" ca="1" si="144"/>
        <v>44.300472725562223</v>
      </c>
    </row>
    <row r="300" spans="1:34" x14ac:dyDescent="0.2">
      <c r="A300" s="347">
        <f t="shared" ca="1" si="122"/>
        <v>0.01</v>
      </c>
      <c r="B300" s="304">
        <f t="shared" ca="1" si="123"/>
        <v>2.9599999999999809</v>
      </c>
      <c r="D300" s="306">
        <f t="shared" ca="1" si="124"/>
        <v>4.8015292103452678</v>
      </c>
      <c r="E300" s="307">
        <f t="shared" ca="1" si="125"/>
        <v>33.84823395462228</v>
      </c>
      <c r="F300" s="304">
        <f t="shared" ca="1" si="126"/>
        <v>34.1870973410239</v>
      </c>
      <c r="G300" s="306">
        <f t="shared" ca="1" si="127"/>
        <v>25.339757230793619</v>
      </c>
      <c r="H300" s="307">
        <f t="shared" ca="1" si="128"/>
        <v>230.30538211393454</v>
      </c>
      <c r="I300" s="304">
        <f t="shared" ca="1" si="129"/>
        <v>231.69521429490285</v>
      </c>
      <c r="J300" s="306">
        <f t="shared" ca="1" si="130"/>
        <v>41.014103017162299</v>
      </c>
      <c r="K300" s="307">
        <f t="shared" ca="1" si="131"/>
        <v>394.46266843847172</v>
      </c>
      <c r="L300" s="304">
        <f t="shared" ca="1" si="116"/>
        <v>396.58914942028116</v>
      </c>
      <c r="M300" s="306">
        <f t="shared" ca="1" si="132"/>
        <v>1.4612103504719367</v>
      </c>
      <c r="N300" s="304">
        <f t="shared" ca="1" si="133"/>
        <v>83.721186062873826</v>
      </c>
      <c r="P300" s="310">
        <f t="shared" ca="1" si="134"/>
        <v>7</v>
      </c>
      <c r="Q300" s="304">
        <f t="shared" ca="1" si="135"/>
        <v>420.06382978723798</v>
      </c>
      <c r="R300" s="306">
        <f t="shared" ca="1" si="136"/>
        <v>0.21081046467360912</v>
      </c>
      <c r="S300" s="307">
        <f t="shared" ca="1" si="137"/>
        <v>6.2129502032128512</v>
      </c>
      <c r="T300" s="304">
        <f t="shared" ca="1" si="117"/>
        <v>60.949041493518074</v>
      </c>
      <c r="U300" s="311">
        <f t="shared" ca="1" si="118"/>
        <v>0</v>
      </c>
      <c r="V300" s="306">
        <f t="shared" ca="1" si="119"/>
        <v>1.1776129443375891</v>
      </c>
      <c r="W300" s="304">
        <f t="shared" ca="1" si="120"/>
        <v>147.58299235954698</v>
      </c>
      <c r="Y300" s="314" t="str">
        <f t="shared" ca="1" si="138"/>
        <v/>
      </c>
      <c r="Z300" s="315" t="str">
        <f t="shared" ca="1" si="139"/>
        <v/>
      </c>
      <c r="AA300" s="316" t="str">
        <f t="shared" ca="1" si="140"/>
        <v/>
      </c>
      <c r="AC300" s="310" t="e">
        <f t="shared" ca="1" si="141"/>
        <v>#N/A</v>
      </c>
      <c r="AD300" s="323" t="e">
        <f t="shared" ca="1" si="142"/>
        <v>#N/A</v>
      </c>
      <c r="AE300" s="324">
        <f t="shared" ca="1" si="121"/>
        <v>394.46266843847172</v>
      </c>
      <c r="AG300" s="306">
        <f t="shared" ca="1" si="143"/>
        <v>34.1702722289631</v>
      </c>
      <c r="AH300" s="304">
        <f t="shared" ca="1" si="144"/>
        <v>43.92147623651023</v>
      </c>
    </row>
    <row r="301" spans="1:34" x14ac:dyDescent="0.2">
      <c r="A301" s="347">
        <f t="shared" ca="1" si="122"/>
        <v>0.01</v>
      </c>
      <c r="B301" s="304">
        <f t="shared" ca="1" si="123"/>
        <v>2.9699999999999807</v>
      </c>
      <c r="D301" s="306">
        <f t="shared" ca="1" si="124"/>
        <v>4.7621421329039917</v>
      </c>
      <c r="E301" s="307">
        <f t="shared" ca="1" si="125"/>
        <v>33.4716681553098</v>
      </c>
      <c r="F301" s="304">
        <f t="shared" ca="1" si="126"/>
        <v>33.80873506644636</v>
      </c>
      <c r="G301" s="306">
        <f t="shared" ca="1" si="127"/>
        <v>25.38737865212266</v>
      </c>
      <c r="H301" s="307">
        <f t="shared" ca="1" si="128"/>
        <v>230.64009879548763</v>
      </c>
      <c r="I301" s="304">
        <f t="shared" ca="1" si="129"/>
        <v>232.03313161533322</v>
      </c>
      <c r="J301" s="306">
        <f t="shared" ca="1" si="130"/>
        <v>41.267738696576878</v>
      </c>
      <c r="K301" s="307">
        <f t="shared" ca="1" si="131"/>
        <v>396.76739584301885</v>
      </c>
      <c r="L301" s="304">
        <f t="shared" ca="1" si="116"/>
        <v>398.90774956270246</v>
      </c>
      <c r="M301" s="306">
        <f t="shared" ca="1" si="132"/>
        <v>1.4611641119021508</v>
      </c>
      <c r="N301" s="304">
        <f t="shared" ca="1" si="133"/>
        <v>83.718536787974372</v>
      </c>
      <c r="P301" s="310">
        <f t="shared" ca="1" si="134"/>
        <v>7</v>
      </c>
      <c r="Q301" s="304">
        <f t="shared" ca="1" si="135"/>
        <v>418.02127659574865</v>
      </c>
      <c r="R301" s="306">
        <f t="shared" ca="1" si="136"/>
        <v>0.2097854023928683</v>
      </c>
      <c r="S301" s="307">
        <f t="shared" ca="1" si="137"/>
        <v>6.2108523491889223</v>
      </c>
      <c r="T301" s="304">
        <f t="shared" ca="1" si="117"/>
        <v>60.928461545543328</v>
      </c>
      <c r="U301" s="311">
        <f t="shared" ca="1" si="118"/>
        <v>0</v>
      </c>
      <c r="V301" s="306">
        <f t="shared" ca="1" si="119"/>
        <v>1.177341461715472</v>
      </c>
      <c r="W301" s="304">
        <f t="shared" ca="1" si="120"/>
        <v>147.97967037758971</v>
      </c>
      <c r="Y301" s="314" t="str">
        <f t="shared" ca="1" si="138"/>
        <v/>
      </c>
      <c r="Z301" s="315" t="str">
        <f t="shared" ca="1" si="139"/>
        <v/>
      </c>
      <c r="AA301" s="316" t="str">
        <f t="shared" ca="1" si="140"/>
        <v/>
      </c>
      <c r="AC301" s="310" t="e">
        <f t="shared" ca="1" si="141"/>
        <v>#N/A</v>
      </c>
      <c r="AD301" s="323" t="e">
        <f t="shared" ca="1" si="142"/>
        <v>#N/A</v>
      </c>
      <c r="AE301" s="324">
        <f t="shared" ca="1" si="121"/>
        <v>396.76739584301885</v>
      </c>
      <c r="AG301" s="306">
        <f t="shared" ca="1" si="143"/>
        <v>33.791707238633286</v>
      </c>
      <c r="AH301" s="304">
        <f t="shared" ca="1" si="144"/>
        <v>43.542861596366606</v>
      </c>
    </row>
    <row r="302" spans="1:34" x14ac:dyDescent="0.2">
      <c r="A302" s="347">
        <f t="shared" ca="1" si="122"/>
        <v>0.01</v>
      </c>
      <c r="B302" s="304">
        <f t="shared" ca="1" si="123"/>
        <v>2.9799999999999804</v>
      </c>
      <c r="D302" s="306">
        <f t="shared" ca="1" si="124"/>
        <v>4.6671918042680733</v>
      </c>
      <c r="E302" s="307">
        <f t="shared" ca="1" si="125"/>
        <v>32.590658751898211</v>
      </c>
      <c r="F302" s="304">
        <f t="shared" ca="1" si="126"/>
        <v>32.923148652893254</v>
      </c>
      <c r="G302" s="306">
        <f t="shared" ca="1" si="127"/>
        <v>25.43405057016534</v>
      </c>
      <c r="H302" s="307">
        <f t="shared" ca="1" si="128"/>
        <v>230.9660053830066</v>
      </c>
      <c r="I302" s="304">
        <f t="shared" ca="1" si="129"/>
        <v>232.36218834179704</v>
      </c>
      <c r="J302" s="306">
        <f t="shared" ca="1" si="130"/>
        <v>41.521845842688315</v>
      </c>
      <c r="K302" s="307">
        <f t="shared" ca="1" si="131"/>
        <v>399.07542636391133</v>
      </c>
      <c r="L302" s="304">
        <f t="shared" ca="1" si="116"/>
        <v>401.22968435762778</v>
      </c>
      <c r="M302" s="306">
        <f t="shared" ca="1" si="132"/>
        <v>1.4611179194084054</v>
      </c>
      <c r="N302" s="304">
        <f t="shared" ca="1" si="133"/>
        <v>83.715890153037577</v>
      </c>
      <c r="P302" s="310">
        <f t="shared" ca="1" si="134"/>
        <v>8</v>
      </c>
      <c r="Q302" s="304">
        <f t="shared" ca="1" si="135"/>
        <v>412.82608695653812</v>
      </c>
      <c r="R302" s="306">
        <f t="shared" ca="1" si="136"/>
        <v>0.20717817876577282</v>
      </c>
      <c r="S302" s="307">
        <f t="shared" ca="1" si="137"/>
        <v>6.2087805674012646</v>
      </c>
      <c r="T302" s="304">
        <f t="shared" ca="1" si="117"/>
        <v>60.908137366206411</v>
      </c>
      <c r="U302" s="311">
        <f t="shared" ca="1" si="118"/>
        <v>0</v>
      </c>
      <c r="V302" s="306">
        <f t="shared" ca="1" si="119"/>
        <v>1.1770696514839125</v>
      </c>
      <c r="W302" s="304">
        <f t="shared" ca="1" si="120"/>
        <v>148.36542066529773</v>
      </c>
      <c r="Y302" s="314" t="str">
        <f t="shared" ca="1" si="138"/>
        <v/>
      </c>
      <c r="Z302" s="315" t="str">
        <f t="shared" ca="1" si="139"/>
        <v/>
      </c>
      <c r="AA302" s="316" t="str">
        <f t="shared" ca="1" si="140"/>
        <v/>
      </c>
      <c r="AC302" s="310" t="e">
        <f t="shared" ca="1" si="141"/>
        <v>#N/A</v>
      </c>
      <c r="AD302" s="323" t="e">
        <f t="shared" ca="1" si="142"/>
        <v>#N/A</v>
      </c>
      <c r="AE302" s="324">
        <f t="shared" ca="1" si="121"/>
        <v>399.07542636391133</v>
      </c>
      <c r="AG302" s="306">
        <f t="shared" ca="1" si="143"/>
        <v>32.905647856283615</v>
      </c>
      <c r="AH302" s="304">
        <f t="shared" ca="1" si="144"/>
        <v>42.656752594785615</v>
      </c>
    </row>
    <row r="303" spans="1:34" x14ac:dyDescent="0.2">
      <c r="A303" s="347">
        <f t="shared" ca="1" si="122"/>
        <v>0.01</v>
      </c>
      <c r="B303" s="304">
        <f t="shared" ca="1" si="123"/>
        <v>2.9899999999999802</v>
      </c>
      <c r="D303" s="306">
        <f t="shared" ca="1" si="124"/>
        <v>4.5166571395870179</v>
      </c>
      <c r="E303" s="307">
        <f t="shared" ca="1" si="125"/>
        <v>31.205655541659539</v>
      </c>
      <c r="F303" s="304">
        <f t="shared" ca="1" si="126"/>
        <v>31.53082824001439</v>
      </c>
      <c r="G303" s="306">
        <f t="shared" ca="1" si="127"/>
        <v>25.479217141561211</v>
      </c>
      <c r="H303" s="307">
        <f t="shared" ca="1" si="128"/>
        <v>231.27806193842321</v>
      </c>
      <c r="I303" s="304">
        <f t="shared" ca="1" si="129"/>
        <v>232.67731397826464</v>
      </c>
      <c r="J303" s="306">
        <f t="shared" ca="1" si="130"/>
        <v>41.776412181246947</v>
      </c>
      <c r="K303" s="307">
        <f t="shared" ca="1" si="131"/>
        <v>401.3866467005185</v>
      </c>
      <c r="L303" s="304">
        <f t="shared" ca="1" si="116"/>
        <v>403.55483984735497</v>
      </c>
      <c r="M303" s="306">
        <f t="shared" ca="1" si="132"/>
        <v>1.4610717701168605</v>
      </c>
      <c r="N303" s="304">
        <f t="shared" ca="1" si="133"/>
        <v>83.713245993404541</v>
      </c>
      <c r="P303" s="310">
        <f t="shared" ca="1" si="134"/>
        <v>8</v>
      </c>
      <c r="Q303" s="304">
        <f t="shared" ca="1" si="135"/>
        <v>404.47826086958179</v>
      </c>
      <c r="R303" s="306">
        <f t="shared" ca="1" si="136"/>
        <v>0.20298879379231038</v>
      </c>
      <c r="S303" s="307">
        <f t="shared" ca="1" si="137"/>
        <v>6.2067506794633411</v>
      </c>
      <c r="T303" s="304">
        <f t="shared" ca="1" si="117"/>
        <v>60.888224165535377</v>
      </c>
      <c r="U303" s="311">
        <f t="shared" ca="1" si="118"/>
        <v>0</v>
      </c>
      <c r="V303" s="306">
        <f t="shared" ca="1" si="119"/>
        <v>1.1767975272246847</v>
      </c>
      <c r="W303" s="304">
        <f t="shared" ca="1" si="120"/>
        <v>148.73372146162905</v>
      </c>
      <c r="Y303" s="314" t="str">
        <f t="shared" ca="1" si="138"/>
        <v/>
      </c>
      <c r="Z303" s="315" t="str">
        <f t="shared" ca="1" si="139"/>
        <v/>
      </c>
      <c r="AA303" s="316" t="str">
        <f t="shared" ca="1" si="140"/>
        <v/>
      </c>
      <c r="AC303" s="310" t="e">
        <f t="shared" ca="1" si="141"/>
        <v>#N/A</v>
      </c>
      <c r="AD303" s="323" t="e">
        <f t="shared" ca="1" si="142"/>
        <v>#N/A</v>
      </c>
      <c r="AE303" s="324">
        <f t="shared" ca="1" si="121"/>
        <v>401.3866467005185</v>
      </c>
      <c r="AG303" s="306">
        <f t="shared" ca="1" si="143"/>
        <v>31.512538869450864</v>
      </c>
      <c r="AH303" s="304">
        <f t="shared" ca="1" si="144"/>
        <v>41.263594017349597</v>
      </c>
    </row>
    <row r="304" spans="1:34" x14ac:dyDescent="0.2">
      <c r="A304" s="347">
        <f t="shared" ca="1" si="122"/>
        <v>0.01</v>
      </c>
      <c r="B304" s="304">
        <f t="shared" ca="1" si="123"/>
        <v>2.99999999999998</v>
      </c>
      <c r="D304" s="306">
        <f t="shared" ca="1" si="124"/>
        <v>4.3661714794124764</v>
      </c>
      <c r="E304" s="307">
        <f t="shared" ca="1" si="125"/>
        <v>29.822288238643317</v>
      </c>
      <c r="F304" s="304">
        <f t="shared" ca="1" si="126"/>
        <v>30.140211166751278</v>
      </c>
      <c r="G304" s="306">
        <f t="shared" ca="1" si="127"/>
        <v>25.522878856355337</v>
      </c>
      <c r="H304" s="307">
        <f t="shared" ca="1" si="128"/>
        <v>231.57628482080963</v>
      </c>
      <c r="I304" s="304">
        <f t="shared" ca="1" si="129"/>
        <v>232.97852483979062</v>
      </c>
      <c r="J304" s="306">
        <f t="shared" ca="1" si="130"/>
        <v>42.031422661236533</v>
      </c>
      <c r="K304" s="307">
        <f t="shared" ca="1" si="131"/>
        <v>403.70091843431464</v>
      </c>
      <c r="L304" s="304">
        <f t="shared" ca="1" si="116"/>
        <v>405.88307680369809</v>
      </c>
      <c r="M304" s="306">
        <f t="shared" ca="1" si="132"/>
        <v>1.4610256611751138</v>
      </c>
      <c r="N304" s="304">
        <f t="shared" ca="1" si="133"/>
        <v>83.710604145644638</v>
      </c>
      <c r="P304" s="310">
        <f t="shared" ca="1" si="134"/>
        <v>8</v>
      </c>
      <c r="Q304" s="304">
        <f t="shared" ca="1" si="135"/>
        <v>396.13043478262546</v>
      </c>
      <c r="R304" s="306">
        <f t="shared" ca="1" si="136"/>
        <v>0.19879940881884794</v>
      </c>
      <c r="S304" s="307">
        <f t="shared" ca="1" si="137"/>
        <v>6.2047626853751527</v>
      </c>
      <c r="T304" s="304">
        <f t="shared" ca="1" si="117"/>
        <v>60.868721943530254</v>
      </c>
      <c r="U304" s="311">
        <f t="shared" ca="1" si="118"/>
        <v>0</v>
      </c>
      <c r="V304" s="306">
        <f t="shared" ca="1" si="119"/>
        <v>1.1765251054640549</v>
      </c>
      <c r="W304" s="304">
        <f t="shared" ca="1" si="120"/>
        <v>149.08453501464911</v>
      </c>
      <c r="Y304" s="314" t="str">
        <f t="shared" ca="1" si="138"/>
        <v/>
      </c>
      <c r="Z304" s="315" t="str">
        <f t="shared" ca="1" si="139"/>
        <v/>
      </c>
      <c r="AA304" s="316" t="str">
        <f t="shared" ca="1" si="140"/>
        <v/>
      </c>
      <c r="AC304" s="310">
        <f t="shared" ca="1" si="141"/>
        <v>2.99999999999998</v>
      </c>
      <c r="AD304" s="323">
        <f t="shared" ca="1" si="142"/>
        <v>42.031422661236533</v>
      </c>
      <c r="AE304" s="324">
        <f t="shared" ca="1" si="121"/>
        <v>403.70091843431464</v>
      </c>
      <c r="AG304" s="306">
        <f t="shared" ca="1" si="143"/>
        <v>30.121061386579328</v>
      </c>
      <c r="AH304" s="304">
        <f t="shared" ca="1" si="144"/>
        <v>39.872066969478027</v>
      </c>
    </row>
    <row r="305" spans="1:34" x14ac:dyDescent="0.2">
      <c r="A305" s="347">
        <f t="shared" ca="1" si="122"/>
        <v>0.01</v>
      </c>
      <c r="B305" s="304">
        <f t="shared" ca="1" si="123"/>
        <v>3.0099999999999798</v>
      </c>
      <c r="D305" s="306">
        <f t="shared" ca="1" si="124"/>
        <v>4.2157392650288577</v>
      </c>
      <c r="E305" s="307">
        <f t="shared" ca="1" si="125"/>
        <v>28.440592429760258</v>
      </c>
      <c r="F305" s="304">
        <f t="shared" ca="1" si="126"/>
        <v>28.751343539153829</v>
      </c>
      <c r="G305" s="306">
        <f t="shared" ca="1" si="127"/>
        <v>25.565036249005626</v>
      </c>
      <c r="H305" s="307">
        <f t="shared" ca="1" si="128"/>
        <v>231.86069074510723</v>
      </c>
      <c r="I305" s="304">
        <f t="shared" ca="1" si="129"/>
        <v>233.26583759996066</v>
      </c>
      <c r="J305" s="306">
        <f t="shared" ca="1" si="130"/>
        <v>42.286862236763341</v>
      </c>
      <c r="K305" s="307">
        <f t="shared" ca="1" si="131"/>
        <v>406.01810331214421</v>
      </c>
      <c r="L305" s="304">
        <f t="shared" ca="1" si="116"/>
        <v>408.21425616338047</v>
      </c>
      <c r="M305" s="306">
        <f t="shared" ca="1" si="132"/>
        <v>1.4609795897511337</v>
      </c>
      <c r="N305" s="304">
        <f t="shared" ca="1" si="133"/>
        <v>83.707964447494419</v>
      </c>
      <c r="P305" s="310">
        <f t="shared" ca="1" si="134"/>
        <v>8</v>
      </c>
      <c r="Q305" s="304">
        <f t="shared" ca="1" si="135"/>
        <v>387.78260869566913</v>
      </c>
      <c r="R305" s="306">
        <f t="shared" ca="1" si="136"/>
        <v>0.1946100238453855</v>
      </c>
      <c r="S305" s="307">
        <f t="shared" ca="1" si="137"/>
        <v>6.2028165851366985</v>
      </c>
      <c r="T305" s="304">
        <f t="shared" ca="1" si="117"/>
        <v>60.849630700191014</v>
      </c>
      <c r="U305" s="311">
        <f t="shared" ca="1" si="118"/>
        <v>0</v>
      </c>
      <c r="V305" s="306">
        <f t="shared" ca="1" si="119"/>
        <v>1.1762524026942183</v>
      </c>
      <c r="W305" s="304">
        <f t="shared" ca="1" si="120"/>
        <v>149.41782742391842</v>
      </c>
      <c r="Y305" s="314" t="str">
        <f t="shared" ca="1" si="138"/>
        <v/>
      </c>
      <c r="Z305" s="315" t="str">
        <f t="shared" ca="1" si="139"/>
        <v/>
      </c>
      <c r="AA305" s="316" t="str">
        <f t="shared" ca="1" si="140"/>
        <v/>
      </c>
      <c r="AC305" s="310" t="e">
        <f t="shared" ca="1" si="141"/>
        <v>#N/A</v>
      </c>
      <c r="AD305" s="323" t="e">
        <f t="shared" ca="1" si="142"/>
        <v>#N/A</v>
      </c>
      <c r="AE305" s="324">
        <f t="shared" ca="1" si="121"/>
        <v>406.01810331214421</v>
      </c>
      <c r="AG305" s="306">
        <f t="shared" ca="1" si="143"/>
        <v>28.731251260780589</v>
      </c>
      <c r="AH305" s="304">
        <f t="shared" ca="1" si="144"/>
        <v>38.482207301275466</v>
      </c>
    </row>
    <row r="306" spans="1:34" x14ac:dyDescent="0.2">
      <c r="A306" s="347">
        <f t="shared" ca="1" si="122"/>
        <v>0.01</v>
      </c>
      <c r="B306" s="304">
        <f t="shared" ca="1" si="123"/>
        <v>3.0199999999999796</v>
      </c>
      <c r="D306" s="306">
        <f t="shared" ca="1" si="124"/>
        <v>4.0653648568700671</v>
      </c>
      <c r="E306" s="307">
        <f t="shared" ca="1" si="125"/>
        <v>27.060603063644834</v>
      </c>
      <c r="F306" s="304">
        <f t="shared" ca="1" si="126"/>
        <v>27.364272867876799</v>
      </c>
      <c r="G306" s="306">
        <f t="shared" ca="1" si="127"/>
        <v>25.605689897574326</v>
      </c>
      <c r="H306" s="307">
        <f t="shared" ca="1" si="128"/>
        <v>232.13129677574369</v>
      </c>
      <c r="I306" s="304">
        <f t="shared" ca="1" si="129"/>
        <v>233.53926928445918</v>
      </c>
      <c r="J306" s="306">
        <f t="shared" ca="1" si="130"/>
        <v>42.542715867496241</v>
      </c>
      <c r="K306" s="307">
        <f t="shared" ca="1" si="131"/>
        <v>408.33806324974847</v>
      </c>
      <c r="L306" s="304">
        <f t="shared" ca="1" si="116"/>
        <v>410.54823903158825</v>
      </c>
      <c r="M306" s="306">
        <f t="shared" ca="1" si="132"/>
        <v>1.460933553032213</v>
      </c>
      <c r="N306" s="304">
        <f t="shared" ca="1" si="133"/>
        <v>83.705326737797634</v>
      </c>
      <c r="P306" s="310">
        <f t="shared" ca="1" si="134"/>
        <v>8</v>
      </c>
      <c r="Q306" s="304">
        <f t="shared" ca="1" si="135"/>
        <v>379.43478260871274</v>
      </c>
      <c r="R306" s="306">
        <f t="shared" ca="1" si="136"/>
        <v>0.19042063887192304</v>
      </c>
      <c r="S306" s="307">
        <f t="shared" ca="1" si="137"/>
        <v>6.2009123787479794</v>
      </c>
      <c r="T306" s="304">
        <f t="shared" ca="1" si="117"/>
        <v>60.830950435517678</v>
      </c>
      <c r="U306" s="311">
        <f t="shared" ca="1" si="118"/>
        <v>0</v>
      </c>
      <c r="V306" s="306">
        <f t="shared" ca="1" si="119"/>
        <v>1.1759794353728683</v>
      </c>
      <c r="W306" s="304">
        <f t="shared" ca="1" si="120"/>
        <v>149.7335686157077</v>
      </c>
      <c r="Y306" s="314" t="str">
        <f t="shared" ca="1" si="138"/>
        <v/>
      </c>
      <c r="Z306" s="315" t="str">
        <f t="shared" ca="1" si="139"/>
        <v/>
      </c>
      <c r="AA306" s="316" t="str">
        <f t="shared" ca="1" si="140"/>
        <v/>
      </c>
      <c r="AC306" s="310" t="e">
        <f t="shared" ca="1" si="141"/>
        <v>#N/A</v>
      </c>
      <c r="AD306" s="323" t="e">
        <f t="shared" ca="1" si="142"/>
        <v>#N/A</v>
      </c>
      <c r="AE306" s="324">
        <f t="shared" ca="1" si="121"/>
        <v>408.33806324974847</v>
      </c>
      <c r="AG306" s="306">
        <f t="shared" ca="1" si="143"/>
        <v>27.343143701931638</v>
      </c>
      <c r="AH306" s="304">
        <f t="shared" ca="1" si="144"/>
        <v>37.09405021962862</v>
      </c>
    </row>
    <row r="307" spans="1:34" x14ac:dyDescent="0.2">
      <c r="A307" s="347">
        <f t="shared" ca="1" si="122"/>
        <v>0.01</v>
      </c>
      <c r="B307" s="304">
        <f t="shared" ca="1" si="123"/>
        <v>3.0299999999999794</v>
      </c>
      <c r="D307" s="306">
        <f t="shared" ca="1" si="124"/>
        <v>3.9150525346509135</v>
      </c>
      <c r="E307" s="307">
        <f t="shared" ca="1" si="125"/>
        <v>25.682354451257041</v>
      </c>
      <c r="F307" s="304">
        <f t="shared" ca="1" si="126"/>
        <v>25.979048606696107</v>
      </c>
      <c r="G307" s="306">
        <f t="shared" ca="1" si="127"/>
        <v>25.644840422920836</v>
      </c>
      <c r="H307" s="307">
        <f t="shared" ca="1" si="128"/>
        <v>232.38812032025626</v>
      </c>
      <c r="I307" s="304">
        <f t="shared" ca="1" si="129"/>
        <v>233.79883726464288</v>
      </c>
      <c r="J307" s="306">
        <f t="shared" ca="1" si="130"/>
        <v>42.798968519098715</v>
      </c>
      <c r="K307" s="307">
        <f t="shared" ca="1" si="131"/>
        <v>410.6606603352285</v>
      </c>
      <c r="L307" s="304">
        <f t="shared" ca="1" si="116"/>
        <v>412.88488668545943</v>
      </c>
      <c r="M307" s="306">
        <f t="shared" ca="1" si="132"/>
        <v>1.4608875482239387</v>
      </c>
      <c r="N307" s="304">
        <f t="shared" ca="1" si="133"/>
        <v>83.70269085644621</v>
      </c>
      <c r="P307" s="310">
        <f t="shared" ca="1" si="134"/>
        <v>8</v>
      </c>
      <c r="Q307" s="304">
        <f t="shared" ca="1" si="135"/>
        <v>371.08695652175641</v>
      </c>
      <c r="R307" s="306">
        <f t="shared" ca="1" si="136"/>
        <v>0.1862312538984606</v>
      </c>
      <c r="S307" s="307">
        <f t="shared" ca="1" si="137"/>
        <v>6.1990500662089945</v>
      </c>
      <c r="T307" s="304">
        <f t="shared" ca="1" si="117"/>
        <v>60.81268114951024</v>
      </c>
      <c r="U307" s="311">
        <f t="shared" ca="1" si="118"/>
        <v>0</v>
      </c>
      <c r="V307" s="306">
        <f t="shared" ca="1" si="119"/>
        <v>1.175706219922781</v>
      </c>
      <c r="W307" s="304">
        <f t="shared" ca="1" si="120"/>
        <v>150.03173231777828</v>
      </c>
      <c r="Y307" s="314" t="str">
        <f t="shared" ca="1" si="138"/>
        <v/>
      </c>
      <c r="Z307" s="315" t="str">
        <f t="shared" ca="1" si="139"/>
        <v/>
      </c>
      <c r="AA307" s="316" t="str">
        <f t="shared" ca="1" si="140"/>
        <v/>
      </c>
      <c r="AC307" s="310" t="e">
        <f t="shared" ca="1" si="141"/>
        <v>#N/A</v>
      </c>
      <c r="AD307" s="323" t="e">
        <f t="shared" ca="1" si="142"/>
        <v>#N/A</v>
      </c>
      <c r="AE307" s="324">
        <f t="shared" ca="1" si="121"/>
        <v>410.6606603352285</v>
      </c>
      <c r="AG307" s="306">
        <f t="shared" ca="1" si="143"/>
        <v>25.956773277285244</v>
      </c>
      <c r="AH307" s="304">
        <f t="shared" ca="1" si="144"/>
        <v>35.707630288815608</v>
      </c>
    </row>
    <row r="308" spans="1:34" x14ac:dyDescent="0.2">
      <c r="A308" s="347">
        <f t="shared" ca="1" si="122"/>
        <v>0.01</v>
      </c>
      <c r="B308" s="304">
        <f t="shared" ca="1" si="123"/>
        <v>3.0399999999999792</v>
      </c>
      <c r="D308" s="306">
        <f t="shared" ca="1" si="124"/>
        <v>3.7648064975061981</v>
      </c>
      <c r="E308" s="307">
        <f t="shared" ca="1" si="125"/>
        <v>24.305880266620321</v>
      </c>
      <c r="F308" s="304">
        <f t="shared" ca="1" si="126"/>
        <v>24.595722870022502</v>
      </c>
      <c r="G308" s="306">
        <f t="shared" ca="1" si="127"/>
        <v>25.682488487895899</v>
      </c>
      <c r="H308" s="307">
        <f t="shared" ca="1" si="128"/>
        <v>232.63117912292248</v>
      </c>
      <c r="I308" s="304">
        <f t="shared" ca="1" si="129"/>
        <v>234.04455925112239</v>
      </c>
      <c r="J308" s="306">
        <f t="shared" ca="1" si="130"/>
        <v>43.0556051636528</v>
      </c>
      <c r="K308" s="307">
        <f t="shared" ca="1" si="131"/>
        <v>412.98575683244439</v>
      </c>
      <c r="L308" s="304">
        <f t="shared" ca="1" si="116"/>
        <v>415.22406057750948</v>
      </c>
      <c r="M308" s="306">
        <f t="shared" ca="1" si="132"/>
        <v>1.4608415725491819</v>
      </c>
      <c r="N308" s="304">
        <f t="shared" ca="1" si="133"/>
        <v>83.700056644322373</v>
      </c>
      <c r="P308" s="310">
        <f t="shared" ca="1" si="134"/>
        <v>8</v>
      </c>
      <c r="Q308" s="304">
        <f t="shared" ca="1" si="135"/>
        <v>362.73913043480007</v>
      </c>
      <c r="R308" s="306">
        <f t="shared" ca="1" si="136"/>
        <v>0.18204186892499816</v>
      </c>
      <c r="S308" s="307">
        <f t="shared" ca="1" si="137"/>
        <v>6.1972296475197446</v>
      </c>
      <c r="T308" s="304">
        <f t="shared" ca="1" si="117"/>
        <v>60.794822842168699</v>
      </c>
      <c r="U308" s="311">
        <f t="shared" ca="1" si="118"/>
        <v>0</v>
      </c>
      <c r="V308" s="306">
        <f t="shared" ca="1" si="119"/>
        <v>1.175432772731406</v>
      </c>
      <c r="W308" s="304">
        <f t="shared" ca="1" si="120"/>
        <v>150.31229603374427</v>
      </c>
      <c r="Y308" s="314" t="str">
        <f t="shared" ca="1" si="138"/>
        <v/>
      </c>
      <c r="Z308" s="315" t="str">
        <f t="shared" ca="1" si="139"/>
        <v/>
      </c>
      <c r="AA308" s="316" t="str">
        <f t="shared" ca="1" si="140"/>
        <v/>
      </c>
      <c r="AC308" s="310" t="e">
        <f t="shared" ca="1" si="141"/>
        <v>#N/A</v>
      </c>
      <c r="AD308" s="323" t="e">
        <f t="shared" ca="1" si="142"/>
        <v>#N/A</v>
      </c>
      <c r="AE308" s="324">
        <f t="shared" ca="1" si="121"/>
        <v>412.98575683244439</v>
      </c>
      <c r="AG308" s="306">
        <f t="shared" ca="1" si="143"/>
        <v>24.572173912216584</v>
      </c>
      <c r="AH308" s="304">
        <f t="shared" ca="1" si="144"/>
        <v>34.322981431251556</v>
      </c>
    </row>
    <row r="309" spans="1:34" x14ac:dyDescent="0.2">
      <c r="A309" s="347">
        <f t="shared" ca="1" si="122"/>
        <v>0.01</v>
      </c>
      <c r="B309" s="304">
        <f t="shared" ca="1" si="123"/>
        <v>3.049999999999979</v>
      </c>
      <c r="D309" s="306">
        <f t="shared" ca="1" si="124"/>
        <v>3.6146308641373617</v>
      </c>
      <c r="E309" s="307">
        <f t="shared" ca="1" si="125"/>
        <v>22.931213547693595</v>
      </c>
      <c r="F309" s="304">
        <f t="shared" ca="1" si="126"/>
        <v>23.214351402826242</v>
      </c>
      <c r="G309" s="306">
        <f t="shared" ca="1" si="127"/>
        <v>25.718634796537273</v>
      </c>
      <c r="H309" s="307">
        <f t="shared" ca="1" si="128"/>
        <v>232.86049125839941</v>
      </c>
      <c r="I309" s="304">
        <f t="shared" ca="1" si="129"/>
        <v>234.2764532873519</v>
      </c>
      <c r="J309" s="306">
        <f t="shared" ca="1" si="130"/>
        <v>43.312610780074962</v>
      </c>
      <c r="K309" s="307">
        <f t="shared" ca="1" si="131"/>
        <v>415.31321518435101</v>
      </c>
      <c r="L309" s="304">
        <f t="shared" ca="1" si="116"/>
        <v>417.56562233899155</v>
      </c>
      <c r="M309" s="306">
        <f t="shared" ca="1" si="132"/>
        <v>1.4607956232470996</v>
      </c>
      <c r="N309" s="304">
        <f t="shared" ca="1" si="133"/>
        <v>83.697423943241489</v>
      </c>
      <c r="P309" s="310">
        <f t="shared" ca="1" si="134"/>
        <v>8</v>
      </c>
      <c r="Q309" s="304">
        <f t="shared" ca="1" si="135"/>
        <v>354.39130434784374</v>
      </c>
      <c r="R309" s="306">
        <f t="shared" ca="1" si="136"/>
        <v>0.17785248395153572</v>
      </c>
      <c r="S309" s="307">
        <f t="shared" ca="1" si="137"/>
        <v>6.1954511226802289</v>
      </c>
      <c r="T309" s="304">
        <f t="shared" ca="1" si="117"/>
        <v>60.777375513493048</v>
      </c>
      <c r="U309" s="311">
        <f t="shared" ca="1" si="118"/>
        <v>0</v>
      </c>
      <c r="V309" s="306">
        <f t="shared" ca="1" si="119"/>
        <v>1.1751591101504701</v>
      </c>
      <c r="W309" s="304">
        <f t="shared" ca="1" si="120"/>
        <v>150.57524101703095</v>
      </c>
      <c r="Y309" s="314" t="str">
        <f t="shared" ca="1" si="138"/>
        <v/>
      </c>
      <c r="Z309" s="315" t="str">
        <f t="shared" ca="1" si="139"/>
        <v/>
      </c>
      <c r="AA309" s="316" t="str">
        <f t="shared" ca="1" si="140"/>
        <v/>
      </c>
      <c r="AC309" s="310" t="e">
        <f t="shared" ca="1" si="141"/>
        <v>#N/A</v>
      </c>
      <c r="AD309" s="323" t="e">
        <f t="shared" ca="1" si="142"/>
        <v>#N/A</v>
      </c>
      <c r="AE309" s="324">
        <f t="shared" ca="1" si="121"/>
        <v>415.31321518435101</v>
      </c>
      <c r="AG309" s="306">
        <f t="shared" ca="1" si="143"/>
        <v>23.18937889110391</v>
      </c>
      <c r="AH309" s="304">
        <f t="shared" ca="1" si="144"/>
        <v>32.94013692836824</v>
      </c>
    </row>
    <row r="310" spans="1:34" x14ac:dyDescent="0.2">
      <c r="A310" s="347">
        <f t="shared" ca="1" si="122"/>
        <v>0.01</v>
      </c>
      <c r="B310" s="304">
        <f t="shared" ca="1" si="123"/>
        <v>3.0599999999999787</v>
      </c>
      <c r="D310" s="306">
        <f t="shared" ca="1" si="124"/>
        <v>3.4645296729667576</v>
      </c>
      <c r="E310" s="307">
        <f t="shared" ca="1" si="125"/>
        <v>21.558386697374836</v>
      </c>
      <c r="F310" s="304">
        <f t="shared" ca="1" si="126"/>
        <v>21.834994912946865</v>
      </c>
      <c r="G310" s="306">
        <f t="shared" ca="1" si="127"/>
        <v>25.753280093266941</v>
      </c>
      <c r="H310" s="307">
        <f t="shared" ca="1" si="128"/>
        <v>233.07607512537317</v>
      </c>
      <c r="I310" s="304">
        <f t="shared" ca="1" si="129"/>
        <v>234.49453774322944</v>
      </c>
      <c r="J310" s="306">
        <f t="shared" ca="1" si="130"/>
        <v>43.569970354523981</v>
      </c>
      <c r="K310" s="307">
        <f t="shared" ca="1" si="131"/>
        <v>417.6428980162699</v>
      </c>
      <c r="L310" s="304">
        <f t="shared" ca="1" si="116"/>
        <v>419.90943378319395</v>
      </c>
      <c r="M310" s="306">
        <f t="shared" ca="1" si="132"/>
        <v>1.4607496975721543</v>
      </c>
      <c r="N310" s="304">
        <f t="shared" ca="1" si="133"/>
        <v>83.694792595895834</v>
      </c>
      <c r="P310" s="310">
        <f t="shared" ca="1" si="134"/>
        <v>8</v>
      </c>
      <c r="Q310" s="304">
        <f t="shared" ca="1" si="135"/>
        <v>346.04347826088735</v>
      </c>
      <c r="R310" s="306">
        <f t="shared" ca="1" si="136"/>
        <v>0.17366309897807322</v>
      </c>
      <c r="S310" s="307">
        <f t="shared" ca="1" si="137"/>
        <v>6.1937144916904483</v>
      </c>
      <c r="T310" s="304">
        <f t="shared" ca="1" si="117"/>
        <v>60.760339163483302</v>
      </c>
      <c r="U310" s="311">
        <f t="shared" ca="1" si="118"/>
        <v>0</v>
      </c>
      <c r="V310" s="306">
        <f t="shared" ca="1" si="119"/>
        <v>1.1748852484955903</v>
      </c>
      <c r="W310" s="304">
        <f t="shared" ca="1" si="120"/>
        <v>150.82055224444645</v>
      </c>
      <c r="Y310" s="314" t="str">
        <f t="shared" ca="1" si="138"/>
        <v/>
      </c>
      <c r="Z310" s="315" t="str">
        <f t="shared" ca="1" si="139"/>
        <v/>
      </c>
      <c r="AA310" s="316" t="str">
        <f t="shared" ca="1" si="140"/>
        <v/>
      </c>
      <c r="AC310" s="310" t="e">
        <f t="shared" ca="1" si="141"/>
        <v>#N/A</v>
      </c>
      <c r="AD310" s="323" t="e">
        <f t="shared" ca="1" si="142"/>
        <v>#N/A</v>
      </c>
      <c r="AE310" s="324">
        <f t="shared" ca="1" si="121"/>
        <v>417.6428980162699</v>
      </c>
      <c r="AG310" s="306">
        <f t="shared" ca="1" si="143"/>
        <v>21.808420858341044</v>
      </c>
      <c r="AH310" s="304">
        <f t="shared" ca="1" si="144"/>
        <v>31.559129421625524</v>
      </c>
    </row>
    <row r="311" spans="1:34" x14ac:dyDescent="0.2">
      <c r="A311" s="347">
        <f t="shared" ca="1" si="122"/>
        <v>0.01</v>
      </c>
      <c r="B311" s="304">
        <f t="shared" ca="1" si="123"/>
        <v>3.0699999999999785</v>
      </c>
      <c r="D311" s="306">
        <f t="shared" ca="1" si="124"/>
        <v>3.3145068822993142</v>
      </c>
      <c r="E311" s="307">
        <f t="shared" ca="1" si="125"/>
        <v>20.187431484633905</v>
      </c>
      <c r="F311" s="304">
        <f t="shared" ca="1" si="126"/>
        <v>20.457720934150945</v>
      </c>
      <c r="G311" s="306">
        <f t="shared" ca="1" si="127"/>
        <v>25.786425162089934</v>
      </c>
      <c r="H311" s="307">
        <f t="shared" ca="1" si="128"/>
        <v>233.27794944021952</v>
      </c>
      <c r="I311" s="304">
        <f t="shared" ca="1" si="129"/>
        <v>234.69883130870863</v>
      </c>
      <c r="J311" s="306">
        <f t="shared" ca="1" si="130"/>
        <v>43.827668880800765</v>
      </c>
      <c r="K311" s="307">
        <f t="shared" ca="1" si="131"/>
        <v>419.97466813909784</v>
      </c>
      <c r="L311" s="304">
        <f t="shared" ca="1" si="116"/>
        <v>422.25535690867258</v>
      </c>
      <c r="M311" s="306">
        <f t="shared" ca="1" si="132"/>
        <v>1.4607037927931483</v>
      </c>
      <c r="N311" s="304">
        <f t="shared" ca="1" si="133"/>
        <v>83.692162445799312</v>
      </c>
      <c r="P311" s="310">
        <f t="shared" ca="1" si="134"/>
        <v>8</v>
      </c>
      <c r="Q311" s="304">
        <f t="shared" ca="1" si="135"/>
        <v>337.69565217393102</v>
      </c>
      <c r="R311" s="306">
        <f t="shared" ca="1" si="136"/>
        <v>0.16947371400461078</v>
      </c>
      <c r="S311" s="307">
        <f t="shared" ca="1" si="137"/>
        <v>6.1920197545504019</v>
      </c>
      <c r="T311" s="304">
        <f t="shared" ca="1" si="117"/>
        <v>60.743713792139445</v>
      </c>
      <c r="U311" s="311">
        <f t="shared" ca="1" si="118"/>
        <v>0</v>
      </c>
      <c r="V311" s="306">
        <f t="shared" ca="1" si="119"/>
        <v>1.1746112040458982</v>
      </c>
      <c r="W311" s="304">
        <f t="shared" ca="1" si="120"/>
        <v>151.04821838938309</v>
      </c>
      <c r="Y311" s="314" t="str">
        <f t="shared" ca="1" si="138"/>
        <v/>
      </c>
      <c r="Z311" s="315" t="str">
        <f t="shared" ca="1" si="139"/>
        <v/>
      </c>
      <c r="AA311" s="316" t="str">
        <f t="shared" ca="1" si="140"/>
        <v/>
      </c>
      <c r="AC311" s="310" t="e">
        <f t="shared" ca="1" si="141"/>
        <v>#N/A</v>
      </c>
      <c r="AD311" s="323" t="e">
        <f t="shared" ca="1" si="142"/>
        <v>#N/A</v>
      </c>
      <c r="AE311" s="324">
        <f t="shared" ca="1" si="121"/>
        <v>419.97466813909784</v>
      </c>
      <c r="AG311" s="306">
        <f t="shared" ca="1" si="143"/>
        <v>20.429331819478975</v>
      </c>
      <c r="AH311" s="304">
        <f t="shared" ca="1" si="144"/>
        <v>30.179990913651963</v>
      </c>
    </row>
    <row r="312" spans="1:34" x14ac:dyDescent="0.2">
      <c r="A312" s="347">
        <f t="shared" ca="1" si="122"/>
        <v>0.01</v>
      </c>
      <c r="B312" s="304">
        <f t="shared" ca="1" si="123"/>
        <v>3.0799999999999783</v>
      </c>
      <c r="D312" s="306">
        <f t="shared" ca="1" si="124"/>
        <v>3.1645663704915079</v>
      </c>
      <c r="E312" s="307">
        <f t="shared" ca="1" si="125"/>
        <v>18.818379045771728</v>
      </c>
      <c r="F312" s="304">
        <f t="shared" ca="1" si="126"/>
        <v>19.082606484010149</v>
      </c>
      <c r="G312" s="306">
        <f t="shared" ca="1" si="127"/>
        <v>25.818070825794848</v>
      </c>
      <c r="H312" s="307">
        <f t="shared" ca="1" si="128"/>
        <v>233.46613323067723</v>
      </c>
      <c r="I312" s="304">
        <f t="shared" ca="1" si="129"/>
        <v>234.88935298742277</v>
      </c>
      <c r="J312" s="306">
        <f t="shared" ca="1" si="130"/>
        <v>44.085691360740192</v>
      </c>
      <c r="K312" s="307">
        <f t="shared" ca="1" si="131"/>
        <v>422.3083885524523</v>
      </c>
      <c r="L312" s="304">
        <f t="shared" ca="1" si="116"/>
        <v>424.60325390242059</v>
      </c>
      <c r="M312" s="306">
        <f t="shared" ca="1" si="132"/>
        <v>1.4606579061922691</v>
      </c>
      <c r="N312" s="304">
        <f t="shared" ca="1" si="133"/>
        <v>83.689533337232731</v>
      </c>
      <c r="P312" s="310">
        <f t="shared" ca="1" si="134"/>
        <v>8</v>
      </c>
      <c r="Q312" s="304">
        <f t="shared" ca="1" si="135"/>
        <v>329.34782608697469</v>
      </c>
      <c r="R312" s="306">
        <f t="shared" ca="1" si="136"/>
        <v>0.16528432903114834</v>
      </c>
      <c r="S312" s="307">
        <f t="shared" ca="1" si="137"/>
        <v>6.1903669112600905</v>
      </c>
      <c r="T312" s="304">
        <f t="shared" ca="1" si="117"/>
        <v>60.727499399461493</v>
      </c>
      <c r="U312" s="311">
        <f t="shared" ca="1" si="118"/>
        <v>0</v>
      </c>
      <c r="V312" s="306">
        <f t="shared" ca="1" si="119"/>
        <v>1.1743369930436718</v>
      </c>
      <c r="W312" s="304">
        <f t="shared" ca="1" si="120"/>
        <v>151.25823179466173</v>
      </c>
      <c r="Y312" s="314" t="str">
        <f t="shared" ca="1" si="138"/>
        <v/>
      </c>
      <c r="Z312" s="315" t="str">
        <f t="shared" ca="1" si="139"/>
        <v/>
      </c>
      <c r="AA312" s="316" t="str">
        <f t="shared" ca="1" si="140"/>
        <v/>
      </c>
      <c r="AC312" s="310" t="e">
        <f t="shared" ca="1" si="141"/>
        <v>#N/A</v>
      </c>
      <c r="AD312" s="323" t="e">
        <f t="shared" ca="1" si="142"/>
        <v>#N/A</v>
      </c>
      <c r="AE312" s="324">
        <f t="shared" ca="1" si="121"/>
        <v>422.3083885524523</v>
      </c>
      <c r="AG312" s="306">
        <f t="shared" ca="1" si="143"/>
        <v>19.052143142493996</v>
      </c>
      <c r="AH312" s="304">
        <f t="shared" ca="1" si="144"/>
        <v>28.802752769511933</v>
      </c>
    </row>
    <row r="313" spans="1:34" x14ac:dyDescent="0.2">
      <c r="A313" s="347">
        <f t="shared" ca="1" si="122"/>
        <v>0.01</v>
      </c>
      <c r="B313" s="304">
        <f t="shared" ca="1" si="123"/>
        <v>3.0899999999999781</v>
      </c>
      <c r="D313" s="306">
        <f t="shared" ca="1" si="124"/>
        <v>3.0147119361276484</v>
      </c>
      <c r="E313" s="307">
        <f t="shared" ca="1" si="125"/>
        <v>17.451259885804092</v>
      </c>
      <c r="F313" s="304">
        <f t="shared" ca="1" si="126"/>
        <v>17.709741942210947</v>
      </c>
      <c r="G313" s="306">
        <f t="shared" ca="1" si="127"/>
        <v>25.848217945156126</v>
      </c>
      <c r="H313" s="307">
        <f t="shared" ca="1" si="128"/>
        <v>233.64064582953526</v>
      </c>
      <c r="I313" s="304">
        <f t="shared" ca="1" si="129"/>
        <v>235.06612209032295</v>
      </c>
      <c r="J313" s="306">
        <f t="shared" ca="1" si="130"/>
        <v>44.34402280459495</v>
      </c>
      <c r="K313" s="307">
        <f t="shared" ca="1" si="131"/>
        <v>424.64392244775337</v>
      </c>
      <c r="L313" s="304">
        <f t="shared" ca="1" si="116"/>
        <v>426.95298714297343</v>
      </c>
      <c r="M313" s="306">
        <f t="shared" ca="1" si="132"/>
        <v>1.4606120350641483</v>
      </c>
      <c r="N313" s="304">
        <f t="shared" ca="1" si="133"/>
        <v>83.686905115189901</v>
      </c>
      <c r="P313" s="310">
        <f t="shared" ca="1" si="134"/>
        <v>8</v>
      </c>
      <c r="Q313" s="304">
        <f t="shared" ca="1" si="135"/>
        <v>321.00000000001836</v>
      </c>
      <c r="R313" s="306">
        <f t="shared" ca="1" si="136"/>
        <v>0.1610949440576859</v>
      </c>
      <c r="S313" s="307">
        <f t="shared" ca="1" si="137"/>
        <v>6.1887559618195134</v>
      </c>
      <c r="T313" s="304">
        <f t="shared" ca="1" si="117"/>
        <v>60.711695985449431</v>
      </c>
      <c r="U313" s="311">
        <f t="shared" ca="1" si="118"/>
        <v>0</v>
      </c>
      <c r="V313" s="306">
        <f t="shared" ca="1" si="119"/>
        <v>1.1740626316939817</v>
      </c>
      <c r="W313" s="304">
        <f t="shared" ca="1" si="120"/>
        <v>151.4505884450372</v>
      </c>
      <c r="Y313" s="314" t="str">
        <f t="shared" ca="1" si="138"/>
        <v/>
      </c>
      <c r="Z313" s="315" t="str">
        <f t="shared" ca="1" si="139"/>
        <v/>
      </c>
      <c r="AA313" s="316" t="str">
        <f t="shared" ca="1" si="140"/>
        <v/>
      </c>
      <c r="AC313" s="310" t="e">
        <f t="shared" ca="1" si="141"/>
        <v>#N/A</v>
      </c>
      <c r="AD313" s="323" t="e">
        <f t="shared" ca="1" si="142"/>
        <v>#N/A</v>
      </c>
      <c r="AE313" s="324">
        <f t="shared" ca="1" si="121"/>
        <v>424.64392244775337</v>
      </c>
      <c r="AG313" s="306">
        <f t="shared" ca="1" si="143"/>
        <v>17.676885559180494</v>
      </c>
      <c r="AH313" s="304">
        <f t="shared" ca="1" si="144"/>
        <v>27.427445718097442</v>
      </c>
    </row>
    <row r="314" spans="1:34" x14ac:dyDescent="0.2">
      <c r="A314" s="347">
        <f t="shared" ca="1" si="122"/>
        <v>0.01</v>
      </c>
      <c r="B314" s="304">
        <f t="shared" ca="1" si="123"/>
        <v>3.0999999999999779</v>
      </c>
      <c r="D314" s="306">
        <f t="shared" ca="1" si="124"/>
        <v>2.8649472982032442</v>
      </c>
      <c r="E314" s="307">
        <f t="shared" ca="1" si="125"/>
        <v>16.086103879966927</v>
      </c>
      <c r="F314" s="304">
        <f t="shared" ca="1" si="126"/>
        <v>16.339236856676298</v>
      </c>
      <c r="G314" s="306">
        <f t="shared" ca="1" si="127"/>
        <v>25.876867418138158</v>
      </c>
      <c r="H314" s="307">
        <f t="shared" ca="1" si="128"/>
        <v>233.80150686833494</v>
      </c>
      <c r="I314" s="304">
        <f t="shared" ca="1" si="129"/>
        <v>235.22915822933172</v>
      </c>
      <c r="J314" s="306">
        <f t="shared" ca="1" si="130"/>
        <v>44.602648231411422</v>
      </c>
      <c r="K314" s="307">
        <f t="shared" ca="1" si="131"/>
        <v>426.98113321124271</v>
      </c>
      <c r="L314" s="304">
        <f t="shared" ca="1" si="116"/>
        <v>429.30441920345061</v>
      </c>
      <c r="M314" s="306">
        <f t="shared" ca="1" si="132"/>
        <v>1.4605661767149321</v>
      </c>
      <c r="N314" s="304">
        <f t="shared" ca="1" si="133"/>
        <v>83.684277625324384</v>
      </c>
      <c r="P314" s="310">
        <f t="shared" ca="1" si="134"/>
        <v>8</v>
      </c>
      <c r="Q314" s="304">
        <f t="shared" ca="1" si="135"/>
        <v>312.65217391306203</v>
      </c>
      <c r="R314" s="306">
        <f t="shared" ca="1" si="136"/>
        <v>0.15690555908422346</v>
      </c>
      <c r="S314" s="307">
        <f t="shared" ca="1" si="137"/>
        <v>6.1871869062286713</v>
      </c>
      <c r="T314" s="304">
        <f t="shared" ca="1" si="117"/>
        <v>60.696303550103266</v>
      </c>
      <c r="U314" s="311">
        <f t="shared" ca="1" si="118"/>
        <v>0</v>
      </c>
      <c r="V314" s="306">
        <f t="shared" ca="1" si="119"/>
        <v>1.1737881361643432</v>
      </c>
      <c r="W314" s="304">
        <f t="shared" ca="1" si="120"/>
        <v>151.62528793937932</v>
      </c>
      <c r="Y314" s="314" t="str">
        <f t="shared" ca="1" si="138"/>
        <v/>
      </c>
      <c r="Z314" s="315" t="str">
        <f t="shared" ca="1" si="139"/>
        <v/>
      </c>
      <c r="AA314" s="316" t="str">
        <f t="shared" ca="1" si="140"/>
        <v/>
      </c>
      <c r="AC314" s="310" t="e">
        <f t="shared" ca="1" si="141"/>
        <v>#N/A</v>
      </c>
      <c r="AD314" s="323" t="e">
        <f t="shared" ca="1" si="142"/>
        <v>#N/A</v>
      </c>
      <c r="AE314" s="324">
        <f t="shared" ca="1" si="121"/>
        <v>426.98113321124271</v>
      </c>
      <c r="AG314" s="306">
        <f t="shared" ca="1" si="143"/>
        <v>16.30358916666529</v>
      </c>
      <c r="AH314" s="304">
        <f t="shared" ca="1" si="144"/>
        <v>26.054099853641468</v>
      </c>
    </row>
    <row r="315" spans="1:34" x14ac:dyDescent="0.2">
      <c r="A315" s="347">
        <f t="shared" ca="1" si="122"/>
        <v>0.01</v>
      </c>
      <c r="B315" s="304">
        <f t="shared" ca="1" si="123"/>
        <v>3.1099999999999777</v>
      </c>
      <c r="D315" s="306">
        <f t="shared" ca="1" si="124"/>
        <v>2.7152760963153444</v>
      </c>
      <c r="E315" s="307">
        <f t="shared" ca="1" si="125"/>
        <v>14.722940275340862</v>
      </c>
      <c r="F315" s="304">
        <f t="shared" ca="1" si="126"/>
        <v>14.971228895133345</v>
      </c>
      <c r="G315" s="306">
        <f t="shared" ca="1" si="127"/>
        <v>25.904020179101312</v>
      </c>
      <c r="H315" s="307">
        <f t="shared" ca="1" si="128"/>
        <v>233.94873627108834</v>
      </c>
      <c r="I315" s="304">
        <f t="shared" ca="1" si="129"/>
        <v>235.37848131101222</v>
      </c>
      <c r="J315" s="306">
        <f t="shared" ca="1" si="130"/>
        <v>44.861552669397618</v>
      </c>
      <c r="K315" s="307">
        <f t="shared" ca="1" si="131"/>
        <v>429.31988442693984</v>
      </c>
      <c r="L315" s="304">
        <f t="shared" ca="1" si="116"/>
        <v>431.65741285453458</v>
      </c>
      <c r="M315" s="306">
        <f t="shared" ca="1" si="132"/>
        <v>1.4605203284613633</v>
      </c>
      <c r="N315" s="304">
        <f t="shared" ca="1" si="133"/>
        <v>83.681650713896843</v>
      </c>
      <c r="P315" s="310">
        <f t="shared" ca="1" si="134"/>
        <v>8</v>
      </c>
      <c r="Q315" s="304">
        <f t="shared" ca="1" si="135"/>
        <v>304.30434782610564</v>
      </c>
      <c r="R315" s="306">
        <f t="shared" ca="1" si="136"/>
        <v>0.15271617411076099</v>
      </c>
      <c r="S315" s="307">
        <f t="shared" ca="1" si="137"/>
        <v>6.1856597444875634</v>
      </c>
      <c r="T315" s="304">
        <f t="shared" ca="1" si="117"/>
        <v>60.681322093422999</v>
      </c>
      <c r="U315" s="311">
        <f t="shared" ca="1" si="118"/>
        <v>0</v>
      </c>
      <c r="V315" s="306">
        <f t="shared" ca="1" si="119"/>
        <v>1.1735135225843811</v>
      </c>
      <c r="W315" s="304">
        <f t="shared" ca="1" si="120"/>
        <v>151.78233346254353</v>
      </c>
      <c r="Y315" s="314" t="str">
        <f t="shared" ca="1" si="138"/>
        <v/>
      </c>
      <c r="Z315" s="315" t="str">
        <f t="shared" ca="1" si="139"/>
        <v/>
      </c>
      <c r="AA315" s="316" t="str">
        <f t="shared" ca="1" si="140"/>
        <v/>
      </c>
      <c r="AC315" s="310" t="e">
        <f t="shared" ca="1" si="141"/>
        <v>#N/A</v>
      </c>
      <c r="AD315" s="323" t="e">
        <f t="shared" ca="1" si="142"/>
        <v>#N/A</v>
      </c>
      <c r="AE315" s="324">
        <f t="shared" ca="1" si="121"/>
        <v>429.31988442693984</v>
      </c>
      <c r="AG315" s="306">
        <f t="shared" ca="1" si="143"/>
        <v>14.932283429041298</v>
      </c>
      <c r="AH315" s="304">
        <f t="shared" ca="1" si="144"/>
        <v>24.68274463735067</v>
      </c>
    </row>
    <row r="316" spans="1:34" x14ac:dyDescent="0.2">
      <c r="A316" s="347">
        <f t="shared" ca="1" si="122"/>
        <v>0.01</v>
      </c>
      <c r="B316" s="304">
        <f t="shared" ca="1" si="123"/>
        <v>3.1199999999999775</v>
      </c>
      <c r="D316" s="306">
        <f t="shared" ca="1" si="124"/>
        <v>2.5657018908597284</v>
      </c>
      <c r="E316" s="307">
        <f t="shared" ca="1" si="125"/>
        <v>13.361797692592722</v>
      </c>
      <c r="F316" s="304">
        <f t="shared" ca="1" si="126"/>
        <v>13.605898124362735</v>
      </c>
      <c r="G316" s="306">
        <f t="shared" ca="1" si="127"/>
        <v>25.929677198009909</v>
      </c>
      <c r="H316" s="307">
        <f t="shared" ca="1" si="128"/>
        <v>234.08235424801427</v>
      </c>
      <c r="I316" s="304">
        <f t="shared" ca="1" si="129"/>
        <v>235.51411153025595</v>
      </c>
      <c r="J316" s="306">
        <f t="shared" ca="1" si="130"/>
        <v>45.120721156283174</v>
      </c>
      <c r="K316" s="307">
        <f t="shared" ca="1" si="131"/>
        <v>431.66003987953536</v>
      </c>
      <c r="L316" s="304">
        <f t="shared" ca="1" si="116"/>
        <v>434.01183106738591</v>
      </c>
      <c r="M316" s="306">
        <f t="shared" ca="1" si="132"/>
        <v>1.4604744876298714</v>
      </c>
      <c r="N316" s="304">
        <f t="shared" ca="1" si="133"/>
        <v>83.679024227722991</v>
      </c>
      <c r="P316" s="310">
        <f t="shared" ca="1" si="134"/>
        <v>8</v>
      </c>
      <c r="Q316" s="304">
        <f t="shared" ca="1" si="135"/>
        <v>295.95652173914931</v>
      </c>
      <c r="R316" s="306">
        <f t="shared" ca="1" si="136"/>
        <v>0.14852678913729855</v>
      </c>
      <c r="S316" s="307">
        <f t="shared" ca="1" si="137"/>
        <v>6.1841744765961906</v>
      </c>
      <c r="T316" s="304">
        <f t="shared" ca="1" si="117"/>
        <v>60.666751615408636</v>
      </c>
      <c r="U316" s="311">
        <f t="shared" ca="1" si="118"/>
        <v>0</v>
      </c>
      <c r="V316" s="306">
        <f t="shared" ca="1" si="119"/>
        <v>1.1732388070455047</v>
      </c>
      <c r="W316" s="304">
        <f t="shared" ca="1" si="120"/>
        <v>151.92173175694958</v>
      </c>
      <c r="Y316" s="314" t="str">
        <f t="shared" ca="1" si="138"/>
        <v/>
      </c>
      <c r="Z316" s="315" t="str">
        <f t="shared" ca="1" si="139"/>
        <v/>
      </c>
      <c r="AA316" s="316" t="str">
        <f t="shared" ca="1" si="140"/>
        <v/>
      </c>
      <c r="AC316" s="310" t="e">
        <f t="shared" ca="1" si="141"/>
        <v>#N/A</v>
      </c>
      <c r="AD316" s="323" t="e">
        <f t="shared" ca="1" si="142"/>
        <v>#N/A</v>
      </c>
      <c r="AE316" s="324">
        <f t="shared" ca="1" si="121"/>
        <v>431.66003987953536</v>
      </c>
      <c r="AG316" s="306">
        <f t="shared" ca="1" si="143"/>
        <v>13.562997179118263</v>
      </c>
      <c r="AH316" s="304">
        <f t="shared" ca="1" si="144"/>
        <v>23.313408899155149</v>
      </c>
    </row>
    <row r="317" spans="1:34" x14ac:dyDescent="0.2">
      <c r="A317" s="347">
        <f t="shared" ca="1" si="122"/>
        <v>0.01</v>
      </c>
      <c r="B317" s="304">
        <f t="shared" ca="1" si="123"/>
        <v>3.1299999999999772</v>
      </c>
      <c r="D317" s="306">
        <f t="shared" ca="1" si="124"/>
        <v>2.4162281632347908</v>
      </c>
      <c r="E317" s="307">
        <f t="shared" ca="1" si="125"/>
        <v>12.002704127830972</v>
      </c>
      <c r="F317" s="304">
        <f t="shared" ca="1" si="126"/>
        <v>12.243490716174845</v>
      </c>
      <c r="G317" s="306">
        <f t="shared" ca="1" si="127"/>
        <v>25.953839479642255</v>
      </c>
      <c r="H317" s="307">
        <f t="shared" ca="1" si="128"/>
        <v>234.20238128929259</v>
      </c>
      <c r="I317" s="304">
        <f t="shared" ca="1" si="129"/>
        <v>235.63606936398813</v>
      </c>
      <c r="J317" s="306">
        <f t="shared" ca="1" si="130"/>
        <v>45.380138739671438</v>
      </c>
      <c r="K317" s="307">
        <f t="shared" ca="1" si="131"/>
        <v>434.00146355722188</v>
      </c>
      <c r="L317" s="304">
        <f t="shared" ca="1" si="116"/>
        <v>436.36753701649536</v>
      </c>
      <c r="M317" s="306">
        <f t="shared" ca="1" si="132"/>
        <v>1.4604286515556735</v>
      </c>
      <c r="N317" s="304">
        <f t="shared" ca="1" si="133"/>
        <v>83.676398014122</v>
      </c>
      <c r="P317" s="310">
        <f t="shared" ca="1" si="134"/>
        <v>8</v>
      </c>
      <c r="Q317" s="304">
        <f t="shared" ca="1" si="135"/>
        <v>287.60869565219298</v>
      </c>
      <c r="R317" s="306">
        <f t="shared" ca="1" si="136"/>
        <v>0.14433740416383611</v>
      </c>
      <c r="S317" s="307">
        <f t="shared" ca="1" si="137"/>
        <v>6.1827311025545519</v>
      </c>
      <c r="T317" s="304">
        <f t="shared" ca="1" si="117"/>
        <v>60.652592116060156</v>
      </c>
      <c r="U317" s="311">
        <f t="shared" ca="1" si="118"/>
        <v>0</v>
      </c>
      <c r="V317" s="306">
        <f t="shared" ca="1" si="119"/>
        <v>1.1729640056005903</v>
      </c>
      <c r="W317" s="304">
        <f t="shared" ca="1" si="120"/>
        <v>152.04349309387931</v>
      </c>
      <c r="Y317" s="314" t="str">
        <f t="shared" ca="1" si="138"/>
        <v/>
      </c>
      <c r="Z317" s="315" t="str">
        <f t="shared" ca="1" si="139"/>
        <v/>
      </c>
      <c r="AA317" s="316" t="str">
        <f t="shared" ca="1" si="140"/>
        <v/>
      </c>
      <c r="AC317" s="310" t="e">
        <f t="shared" ca="1" si="141"/>
        <v>#N/A</v>
      </c>
      <c r="AD317" s="323" t="e">
        <f t="shared" ca="1" si="142"/>
        <v>#N/A</v>
      </c>
      <c r="AE317" s="324">
        <f t="shared" ca="1" si="121"/>
        <v>434.00146355722188</v>
      </c>
      <c r="AG317" s="306">
        <f t="shared" ca="1" si="143"/>
        <v>12.195758620287418</v>
      </c>
      <c r="AH317" s="304">
        <f t="shared" ca="1" si="144"/>
        <v>21.946120839572156</v>
      </c>
    </row>
    <row r="318" spans="1:34" x14ac:dyDescent="0.2">
      <c r="A318" s="347">
        <f t="shared" ca="1" si="122"/>
        <v>0.01</v>
      </c>
      <c r="B318" s="304">
        <f t="shared" ca="1" si="123"/>
        <v>3.139999999999977</v>
      </c>
      <c r="D318" s="306">
        <f t="shared" ca="1" si="124"/>
        <v>2.2668583160519655</v>
      </c>
      <c r="E318" s="307">
        <f t="shared" ca="1" si="125"/>
        <v>10.645686954573256</v>
      </c>
      <c r="F318" s="304">
        <f t="shared" ca="1" si="126"/>
        <v>10.88436021821334</v>
      </c>
      <c r="G318" s="306">
        <f t="shared" ca="1" si="127"/>
        <v>25.976508062802775</v>
      </c>
      <c r="H318" s="307">
        <f t="shared" ca="1" si="128"/>
        <v>234.30883815883831</v>
      </c>
      <c r="I318" s="304">
        <f t="shared" ca="1" si="129"/>
        <v>235.74437556489349</v>
      </c>
      <c r="J318" s="306">
        <f t="shared" ca="1" si="130"/>
        <v>45.639790477383663</v>
      </c>
      <c r="K318" s="307">
        <f t="shared" ca="1" si="131"/>
        <v>436.34401965446256</v>
      </c>
      <c r="L318" s="304">
        <f t="shared" ca="1" si="116"/>
        <v>438.72439408247345</v>
      </c>
      <c r="M318" s="306">
        <f t="shared" ca="1" si="132"/>
        <v>1.4603828175818825</v>
      </c>
      <c r="N318" s="304">
        <f t="shared" ca="1" si="133"/>
        <v>83.673771920865462</v>
      </c>
      <c r="P318" s="310">
        <f t="shared" ca="1" si="134"/>
        <v>8</v>
      </c>
      <c r="Q318" s="304">
        <f t="shared" ca="1" si="135"/>
        <v>279.26086956523659</v>
      </c>
      <c r="R318" s="306">
        <f t="shared" ca="1" si="136"/>
        <v>0.14014801919037362</v>
      </c>
      <c r="S318" s="307">
        <f t="shared" ca="1" si="137"/>
        <v>6.1813296223626484</v>
      </c>
      <c r="T318" s="304">
        <f t="shared" ca="1" si="117"/>
        <v>60.638843595377587</v>
      </c>
      <c r="U318" s="311">
        <f t="shared" ca="1" si="118"/>
        <v>0</v>
      </c>
      <c r="V318" s="306">
        <f t="shared" ca="1" si="119"/>
        <v>1.1726891342636783</v>
      </c>
      <c r="W318" s="304">
        <f t="shared" ca="1" si="120"/>
        <v>152.14763124451167</v>
      </c>
      <c r="Y318" s="314" t="str">
        <f t="shared" ca="1" si="138"/>
        <v/>
      </c>
      <c r="Z318" s="315" t="str">
        <f t="shared" ca="1" si="139"/>
        <v/>
      </c>
      <c r="AA318" s="316" t="str">
        <f t="shared" ca="1" si="140"/>
        <v/>
      </c>
      <c r="AC318" s="310" t="e">
        <f t="shared" ca="1" si="141"/>
        <v>#N/A</v>
      </c>
      <c r="AD318" s="323" t="e">
        <f t="shared" ca="1" si="142"/>
        <v>#N/A</v>
      </c>
      <c r="AE318" s="324">
        <f t="shared" ca="1" si="121"/>
        <v>436.34401965446256</v>
      </c>
      <c r="AG318" s="306">
        <f t="shared" ca="1" si="143"/>
        <v>10.830595328498333</v>
      </c>
      <c r="AH318" s="304">
        <f t="shared" ca="1" si="144"/>
        <v>20.580908031681997</v>
      </c>
    </row>
    <row r="319" spans="1:34" x14ac:dyDescent="0.2">
      <c r="A319" s="347">
        <f t="shared" ca="1" si="122"/>
        <v>0.01</v>
      </c>
      <c r="B319" s="304">
        <f t="shared" ca="1" si="123"/>
        <v>3.1499999999999768</v>
      </c>
      <c r="D319" s="306">
        <f t="shared" ca="1" si="124"/>
        <v>2.1175956733525028</v>
      </c>
      <c r="E319" s="307">
        <f t="shared" ca="1" si="125"/>
        <v>9.2907729258230685</v>
      </c>
      <c r="F319" s="304">
        <f t="shared" ca="1" si="126"/>
        <v>9.5290436558454381</v>
      </c>
      <c r="G319" s="306">
        <f t="shared" ca="1" si="127"/>
        <v>25.997684019536301</v>
      </c>
      <c r="H319" s="307">
        <f t="shared" ca="1" si="128"/>
        <v>234.40174588809654</v>
      </c>
      <c r="I319" s="304">
        <f t="shared" ca="1" si="129"/>
        <v>235.83905115516268</v>
      </c>
      <c r="J319" s="306">
        <f t="shared" ca="1" si="130"/>
        <v>45.899661437795359</v>
      </c>
      <c r="K319" s="307">
        <f t="shared" ca="1" si="131"/>
        <v>438.68757257469724</v>
      </c>
      <c r="L319" s="304">
        <f t="shared" ca="1" si="116"/>
        <v>441.08226585477735</v>
      </c>
      <c r="M319" s="306">
        <f t="shared" ca="1" si="132"/>
        <v>1.4603369830586239</v>
      </c>
      <c r="N319" s="304">
        <f t="shared" ca="1" si="133"/>
        <v>83.671145796126751</v>
      </c>
      <c r="P319" s="310">
        <f t="shared" ca="1" si="134"/>
        <v>8</v>
      </c>
      <c r="Q319" s="304">
        <f t="shared" ca="1" si="135"/>
        <v>270.91304347828031</v>
      </c>
      <c r="R319" s="306">
        <f t="shared" ca="1" si="136"/>
        <v>0.13595863421691121</v>
      </c>
      <c r="S319" s="307">
        <f t="shared" ca="1" si="137"/>
        <v>6.179970036020479</v>
      </c>
      <c r="T319" s="304">
        <f t="shared" ca="1" si="117"/>
        <v>60.625506053360901</v>
      </c>
      <c r="U319" s="311">
        <f t="shared" ca="1" si="118"/>
        <v>0</v>
      </c>
      <c r="V319" s="306">
        <f t="shared" ca="1" si="119"/>
        <v>1.172414209009673</v>
      </c>
      <c r="W319" s="304">
        <f t="shared" ca="1" si="120"/>
        <v>152.23416345070808</v>
      </c>
      <c r="Y319" s="314" t="str">
        <f t="shared" ca="1" si="138"/>
        <v/>
      </c>
      <c r="Z319" s="315" t="str">
        <f t="shared" ca="1" si="139"/>
        <v/>
      </c>
      <c r="AA319" s="316" t="str">
        <f t="shared" ca="1" si="140"/>
        <v/>
      </c>
      <c r="AC319" s="310" t="e">
        <f t="shared" ca="1" si="141"/>
        <v>#N/A</v>
      </c>
      <c r="AD319" s="323" t="e">
        <f t="shared" ca="1" si="142"/>
        <v>#N/A</v>
      </c>
      <c r="AE319" s="324">
        <f t="shared" ca="1" si="121"/>
        <v>438.68757257469724</v>
      </c>
      <c r="AG319" s="306">
        <f t="shared" ca="1" si="143"/>
        <v>9.4675342543449563</v>
      </c>
      <c r="AH319" s="304">
        <f t="shared" ca="1" si="144"/>
        <v>19.217797423213117</v>
      </c>
    </row>
    <row r="320" spans="1:34" x14ac:dyDescent="0.2">
      <c r="A320" s="347">
        <f t="shared" ca="1" si="122"/>
        <v>0.01</v>
      </c>
      <c r="B320" s="304">
        <f t="shared" ca="1" si="123"/>
        <v>3.1599999999999766</v>
      </c>
      <c r="D320" s="306">
        <f t="shared" ca="1" si="124"/>
        <v>1.9684434808304283</v>
      </c>
      <c r="E320" s="307">
        <f t="shared" ca="1" si="125"/>
        <v>7.9379881762530768</v>
      </c>
      <c r="F320" s="304">
        <f t="shared" ca="1" si="126"/>
        <v>8.1784121945251371</v>
      </c>
      <c r="G320" s="306">
        <f t="shared" ca="1" si="127"/>
        <v>26.017368454344606</v>
      </c>
      <c r="H320" s="307">
        <f t="shared" ca="1" si="128"/>
        <v>234.48112576985906</v>
      </c>
      <c r="I320" s="304">
        <f t="shared" ca="1" si="129"/>
        <v>235.92011742026068</v>
      </c>
      <c r="J320" s="306">
        <f t="shared" ca="1" si="130"/>
        <v>46.159736700164764</v>
      </c>
      <c r="K320" s="307">
        <f t="shared" ca="1" si="131"/>
        <v>441.03198693298702</v>
      </c>
      <c r="L320" s="304">
        <f t="shared" ca="1" si="116"/>
        <v>443.44101613437493</v>
      </c>
      <c r="M320" s="306">
        <f t="shared" ca="1" si="132"/>
        <v>1.460291145342159</v>
      </c>
      <c r="N320" s="304">
        <f t="shared" ca="1" si="133"/>
        <v>83.668519488430789</v>
      </c>
      <c r="P320" s="310">
        <f t="shared" ca="1" si="134"/>
        <v>8</v>
      </c>
      <c r="Q320" s="304">
        <f t="shared" ca="1" si="135"/>
        <v>262.56521739132393</v>
      </c>
      <c r="R320" s="306">
        <f t="shared" ca="1" si="136"/>
        <v>0.13176924924344874</v>
      </c>
      <c r="S320" s="307">
        <f t="shared" ca="1" si="137"/>
        <v>6.1786523435280447</v>
      </c>
      <c r="T320" s="304">
        <f t="shared" ca="1" si="117"/>
        <v>60.61257949001012</v>
      </c>
      <c r="U320" s="311">
        <f t="shared" ca="1" si="118"/>
        <v>0</v>
      </c>
      <c r="V320" s="306">
        <f t="shared" ca="1" si="119"/>
        <v>1.1721392457740614</v>
      </c>
      <c r="W320" s="304">
        <f t="shared" ca="1" si="120"/>
        <v>152.30311039556375</v>
      </c>
      <c r="Y320" s="314" t="str">
        <f t="shared" ca="1" si="138"/>
        <v/>
      </c>
      <c r="Z320" s="315" t="str">
        <f t="shared" ca="1" si="139"/>
        <v/>
      </c>
      <c r="AA320" s="316" t="str">
        <f t="shared" ca="1" si="140"/>
        <v/>
      </c>
      <c r="AC320" s="310" t="e">
        <f t="shared" ca="1" si="141"/>
        <v>#N/A</v>
      </c>
      <c r="AD320" s="323" t="e">
        <f t="shared" ca="1" si="142"/>
        <v>#N/A</v>
      </c>
      <c r="AE320" s="324">
        <f t="shared" ca="1" si="121"/>
        <v>441.03198693298702</v>
      </c>
      <c r="AG320" s="306">
        <f t="shared" ca="1" si="143"/>
        <v>8.1066017252583524</v>
      </c>
      <c r="AH320" s="304">
        <f t="shared" ca="1" si="144"/>
        <v>17.856815338733917</v>
      </c>
    </row>
    <row r="321" spans="1:34" x14ac:dyDescent="0.2">
      <c r="A321" s="347">
        <f t="shared" ca="1" si="122"/>
        <v>0.01</v>
      </c>
      <c r="B321" s="304">
        <f t="shared" ca="1" si="123"/>
        <v>3.1699999999999764</v>
      </c>
      <c r="D321" s="306">
        <f t="shared" ca="1" si="124"/>
        <v>1.8194049060615207</v>
      </c>
      <c r="E321" s="307">
        <f t="shared" ca="1" si="125"/>
        <v>6.5873582244929185</v>
      </c>
      <c r="F321" s="304">
        <f t="shared" ca="1" si="126"/>
        <v>6.8339975556035455</v>
      </c>
      <c r="G321" s="306">
        <f t="shared" ca="1" si="127"/>
        <v>26.03556250340522</v>
      </c>
      <c r="H321" s="307">
        <f t="shared" ca="1" si="128"/>
        <v>234.546999352104</v>
      </c>
      <c r="I321" s="304">
        <f t="shared" ca="1" si="129"/>
        <v>235.98759590271814</v>
      </c>
      <c r="J321" s="306">
        <f t="shared" ca="1" si="130"/>
        <v>46.420001354953513</v>
      </c>
      <c r="K321" s="307">
        <f t="shared" ca="1" si="131"/>
        <v>443.37712755859684</v>
      </c>
      <c r="L321" s="304">
        <f t="shared" ca="1" si="116"/>
        <v>445.80050893634717</v>
      </c>
      <c r="M321" s="306">
        <f t="shared" ca="1" si="132"/>
        <v>1.4602453017940129</v>
      </c>
      <c r="N321" s="304">
        <f t="shared" ca="1" si="133"/>
        <v>83.665892846604123</v>
      </c>
      <c r="P321" s="310">
        <f t="shared" ca="1" si="134"/>
        <v>8</v>
      </c>
      <c r="Q321" s="304">
        <f t="shared" ca="1" si="135"/>
        <v>254.2173913043676</v>
      </c>
      <c r="R321" s="306">
        <f t="shared" ca="1" si="136"/>
        <v>0.1275798642699863</v>
      </c>
      <c r="S321" s="307">
        <f t="shared" ca="1" si="137"/>
        <v>6.1773765448853446</v>
      </c>
      <c r="T321" s="304">
        <f t="shared" ca="1" si="117"/>
        <v>60.600063905325236</v>
      </c>
      <c r="U321" s="311">
        <f t="shared" ca="1" si="118"/>
        <v>0</v>
      </c>
      <c r="V321" s="306">
        <f t="shared" ca="1" si="119"/>
        <v>1.1718642604526326</v>
      </c>
      <c r="W321" s="304">
        <f t="shared" ca="1" si="120"/>
        <v>152.354496173738</v>
      </c>
      <c r="Y321" s="314" t="str">
        <f t="shared" ca="1" si="138"/>
        <v/>
      </c>
      <c r="Z321" s="315" t="str">
        <f t="shared" ca="1" si="139"/>
        <v/>
      </c>
      <c r="AA321" s="316" t="str">
        <f t="shared" ca="1" si="140"/>
        <v/>
      </c>
      <c r="AC321" s="310" t="e">
        <f t="shared" ca="1" si="141"/>
        <v>#N/A</v>
      </c>
      <c r="AD321" s="323" t="e">
        <f t="shared" ca="1" si="142"/>
        <v>#N/A</v>
      </c>
      <c r="AE321" s="324">
        <f t="shared" ca="1" si="121"/>
        <v>443.37712755859684</v>
      </c>
      <c r="AG321" s="306">
        <f t="shared" ca="1" si="143"/>
        <v>6.7478234478038974</v>
      </c>
      <c r="AH321" s="304">
        <f t="shared" ca="1" si="144"/>
        <v>16.497987481949011</v>
      </c>
    </row>
    <row r="322" spans="1:34" x14ac:dyDescent="0.2">
      <c r="A322" s="347">
        <f t="shared" ca="1" si="122"/>
        <v>0.01</v>
      </c>
      <c r="B322" s="304">
        <f t="shared" ca="1" si="123"/>
        <v>3.1799999999999762</v>
      </c>
      <c r="D322" s="306">
        <f t="shared" ca="1" si="124"/>
        <v>1.6704830387381091</v>
      </c>
      <c r="E322" s="307">
        <f t="shared" ca="1" si="125"/>
        <v>5.2389079755185914</v>
      </c>
      <c r="F322" s="304">
        <f t="shared" ca="1" si="126"/>
        <v>5.4987880809014644</v>
      </c>
      <c r="G322" s="306">
        <f t="shared" ca="1" si="127"/>
        <v>26.052267333792603</v>
      </c>
      <c r="H322" s="307">
        <f t="shared" ca="1" si="128"/>
        <v>234.59938843185918</v>
      </c>
      <c r="I322" s="304">
        <f t="shared" ca="1" si="129"/>
        <v>236.04150839594661</v>
      </c>
      <c r="J322" s="306">
        <f t="shared" ca="1" si="130"/>
        <v>46.680440504139504</v>
      </c>
      <c r="K322" s="307">
        <f t="shared" ca="1" si="131"/>
        <v>445.72285949751665</v>
      </c>
      <c r="L322" s="304">
        <f t="shared" ca="1" si="116"/>
        <v>448.1606084924282</v>
      </c>
      <c r="M322" s="306">
        <f t="shared" ca="1" si="132"/>
        <v>1.4601994497801112</v>
      </c>
      <c r="N322" s="304">
        <f t="shared" ca="1" si="133"/>
        <v>83.663265719725374</v>
      </c>
      <c r="P322" s="310">
        <f t="shared" ca="1" si="134"/>
        <v>8</v>
      </c>
      <c r="Q322" s="304">
        <f t="shared" ca="1" si="135"/>
        <v>245.86956521741126</v>
      </c>
      <c r="R322" s="306">
        <f t="shared" ca="1" si="136"/>
        <v>0.12339047929652386</v>
      </c>
      <c r="S322" s="307">
        <f t="shared" ca="1" si="137"/>
        <v>6.1761426400923796</v>
      </c>
      <c r="T322" s="304">
        <f t="shared" ca="1" si="117"/>
        <v>60.587959299306249</v>
      </c>
      <c r="U322" s="311">
        <f t="shared" ca="1" si="118"/>
        <v>0</v>
      </c>
      <c r="V322" s="306">
        <f t="shared" ca="1" si="119"/>
        <v>1.1715892689012144</v>
      </c>
      <c r="W322" s="304">
        <f t="shared" ca="1" si="120"/>
        <v>152.38834826157972</v>
      </c>
      <c r="Y322" s="314" t="str">
        <f t="shared" ca="1" si="138"/>
        <v/>
      </c>
      <c r="Z322" s="315" t="str">
        <f t="shared" ca="1" si="139"/>
        <v/>
      </c>
      <c r="AA322" s="316" t="str">
        <f t="shared" ca="1" si="140"/>
        <v/>
      </c>
      <c r="AC322" s="310" t="e">
        <f t="shared" ca="1" si="141"/>
        <v>#N/A</v>
      </c>
      <c r="AD322" s="323" t="e">
        <f t="shared" ca="1" si="142"/>
        <v>#N/A</v>
      </c>
      <c r="AE322" s="324">
        <f t="shared" ca="1" si="121"/>
        <v>445.72285949751665</v>
      </c>
      <c r="AG322" s="306">
        <f t="shared" ca="1" si="143"/>
        <v>5.3912245100802014</v>
      </c>
      <c r="AH322" s="304">
        <f t="shared" ca="1" si="144"/>
        <v>15.141338938097212</v>
      </c>
    </row>
    <row r="323" spans="1:34" x14ac:dyDescent="0.2">
      <c r="A323" s="347">
        <f t="shared" ca="1" si="122"/>
        <v>0.01</v>
      </c>
      <c r="B323" s="304">
        <f t="shared" ca="1" si="123"/>
        <v>3.189999999999976</v>
      </c>
      <c r="D323" s="306">
        <f t="shared" ca="1" si="124"/>
        <v>1.5216808909094393</v>
      </c>
      <c r="E323" s="307">
        <f t="shared" ca="1" si="125"/>
        <v>3.8926617231411846</v>
      </c>
      <c r="F323" s="304">
        <f t="shared" ca="1" si="126"/>
        <v>4.1795128932170362</v>
      </c>
      <c r="G323" s="306">
        <f t="shared" ca="1" si="127"/>
        <v>26.067484142701698</v>
      </c>
      <c r="H323" s="307">
        <f t="shared" ca="1" si="128"/>
        <v>234.63831504909061</v>
      </c>
      <c r="I323" s="304">
        <f t="shared" ca="1" si="129"/>
        <v>236.08187693807903</v>
      </c>
      <c r="J323" s="306">
        <f t="shared" ca="1" si="130"/>
        <v>46.941039261521979</v>
      </c>
      <c r="K323" s="307">
        <f t="shared" ca="1" si="131"/>
        <v>448.06904801492141</v>
      </c>
      <c r="L323" s="304">
        <f t="shared" ca="1" si="116"/>
        <v>450.52117925348381</v>
      </c>
      <c r="M323" s="306">
        <f t="shared" ca="1" si="132"/>
        <v>1.4601535866699169</v>
      </c>
      <c r="N323" s="304">
        <f t="shared" ca="1" si="133"/>
        <v>83.660637957075892</v>
      </c>
      <c r="P323" s="310">
        <f t="shared" ca="1" si="134"/>
        <v>8</v>
      </c>
      <c r="Q323" s="304">
        <f t="shared" ca="1" si="135"/>
        <v>237.5217391304549</v>
      </c>
      <c r="R323" s="306">
        <f t="shared" ca="1" si="136"/>
        <v>0.1192010943230614</v>
      </c>
      <c r="S323" s="307">
        <f t="shared" ca="1" si="137"/>
        <v>6.1749506291491487</v>
      </c>
      <c r="T323" s="304">
        <f t="shared" ca="1" si="117"/>
        <v>60.576265671953152</v>
      </c>
      <c r="U323" s="311">
        <f t="shared" ca="1" si="118"/>
        <v>0</v>
      </c>
      <c r="V323" s="306">
        <f t="shared" ca="1" si="119"/>
        <v>1.171314286935415</v>
      </c>
      <c r="W323" s="304">
        <f t="shared" ca="1" si="120"/>
        <v>152.40469748706104</v>
      </c>
      <c r="Y323" s="314" t="str">
        <f t="shared" ca="1" si="138"/>
        <v/>
      </c>
      <c r="Z323" s="315" t="str">
        <f t="shared" ca="1" si="139"/>
        <v/>
      </c>
      <c r="AA323" s="316" t="str">
        <f t="shared" ca="1" si="140"/>
        <v/>
      </c>
      <c r="AC323" s="310" t="e">
        <f t="shared" ca="1" si="141"/>
        <v>#N/A</v>
      </c>
      <c r="AD323" s="323" t="e">
        <f t="shared" ca="1" si="142"/>
        <v>#N/A</v>
      </c>
      <c r="AE323" s="324">
        <f t="shared" ca="1" si="121"/>
        <v>448.06904801492141</v>
      </c>
      <c r="AG323" s="306">
        <f t="shared" ca="1" si="143"/>
        <v>4.036829384217274</v>
      </c>
      <c r="AH323" s="304">
        <f t="shared" ca="1" si="144"/>
        <v>13.786894176448788</v>
      </c>
    </row>
    <row r="324" spans="1:34" x14ac:dyDescent="0.2">
      <c r="A324" s="347">
        <f t="shared" ca="1" si="122"/>
        <v>0.01</v>
      </c>
      <c r="B324" s="304">
        <f t="shared" ca="1" si="123"/>
        <v>3.1999999999999758</v>
      </c>
      <c r="D324" s="306">
        <f t="shared" ca="1" si="124"/>
        <v>1.3730013972275044</v>
      </c>
      <c r="E324" s="307">
        <f t="shared" ca="1" si="125"/>
        <v>2.5486431525922928</v>
      </c>
      <c r="F324" s="304">
        <f t="shared" ca="1" si="126"/>
        <v>2.8949464167829189</v>
      </c>
      <c r="G324" s="306">
        <f t="shared" ca="1" si="127"/>
        <v>26.081214156673973</v>
      </c>
      <c r="H324" s="307">
        <f t="shared" ca="1" si="128"/>
        <v>234.66380148061654</v>
      </c>
      <c r="I324" s="304">
        <f t="shared" ca="1" si="129"/>
        <v>236.10872380583589</v>
      </c>
      <c r="J324" s="306">
        <f t="shared" ca="1" si="130"/>
        <v>47.201782753018854</v>
      </c>
      <c r="K324" s="307">
        <f t="shared" ca="1" si="131"/>
        <v>450.41555859756994</v>
      </c>
      <c r="L324" s="304">
        <f t="shared" ref="L324:L387" ca="1" si="145">SQRT(pos_x^2+pos_z^2)</f>
        <v>452.88208589192857</v>
      </c>
      <c r="M324" s="306">
        <f t="shared" ca="1" si="132"/>
        <v>1.4601077098355764</v>
      </c>
      <c r="N324" s="304">
        <f t="shared" ca="1" si="133"/>
        <v>83.658009408090763</v>
      </c>
      <c r="P324" s="310">
        <f t="shared" ca="1" si="134"/>
        <v>8</v>
      </c>
      <c r="Q324" s="304">
        <f t="shared" ca="1" si="135"/>
        <v>229.17391304349857</v>
      </c>
      <c r="R324" s="306">
        <f t="shared" ca="1" si="136"/>
        <v>0.11501170934959895</v>
      </c>
      <c r="S324" s="307">
        <f t="shared" ca="1" si="137"/>
        <v>6.1738005120556529</v>
      </c>
      <c r="T324" s="304">
        <f t="shared" ref="T324:T387" ca="1" si="146">m*g</f>
        <v>60.56498302326596</v>
      </c>
      <c r="U324" s="311">
        <f t="shared" ref="U324:U387" ca="1" si="147">IF(pos_xz&lt;L_rampe,Poids*COS(Beta),0)</f>
        <v>0</v>
      </c>
      <c r="V324" s="306">
        <f t="shared" ref="V324:V387" ca="1" si="148">Rho_moyen*(20000-Alt_rampe-pos_z)/(20000+Alt_rampe+pos_z)</f>
        <v>1.1710393303303748</v>
      </c>
      <c r="W324" s="304">
        <f t="shared" ref="W324:W387" ca="1" si="149">1/2*Rho*Sref*Cx*vit_xz^2</f>
        <v>152.40357799953281</v>
      </c>
      <c r="Y324" s="314" t="str">
        <f t="shared" ca="1" si="138"/>
        <v/>
      </c>
      <c r="Z324" s="315" t="str">
        <f t="shared" ca="1" si="139"/>
        <v/>
      </c>
      <c r="AA324" s="316" t="str">
        <f t="shared" ca="1" si="140"/>
        <v/>
      </c>
      <c r="AC324" s="310" t="e">
        <f t="shared" ca="1" si="141"/>
        <v>#N/A</v>
      </c>
      <c r="AD324" s="323" t="e">
        <f t="shared" ca="1" si="142"/>
        <v>#N/A</v>
      </c>
      <c r="AE324" s="324">
        <f t="shared" ref="AE324:AE387" ca="1" si="150">IF(t&lt;T_para, pos_z, NA())</f>
        <v>450.41555859756994</v>
      </c>
      <c r="AG324" s="306">
        <f t="shared" ca="1" si="143"/>
        <v>2.6846619289714901</v>
      </c>
      <c r="AH324" s="304">
        <f t="shared" ca="1" si="144"/>
        <v>12.434677052899486</v>
      </c>
    </row>
    <row r="325" spans="1:34" x14ac:dyDescent="0.2">
      <c r="A325" s="347">
        <f t="shared" ref="A325:A388" ca="1" si="151">IF(B324+0.01&lt;=T_ini+ROUNDUP(Temps_fin_propu,0), 0.01, IF(K324&gt;0, 0.1, 0.0001))</f>
        <v>0.01</v>
      </c>
      <c r="B325" s="304">
        <f t="shared" ref="B325:B388" ca="1" si="152">B324+pas</f>
        <v>3.2099999999999755</v>
      </c>
      <c r="D325" s="306">
        <f t="shared" ref="D325:D388" ca="1" si="153">IF(AND(L324&lt;L_rampe,Poussee&lt;Poids*SIN(M324)),0,(-W324+Poussee)/m*COS(M324)-U324/m*SIN(M324))</f>
        <v>1.2467818951886234</v>
      </c>
      <c r="E325" s="307">
        <f t="shared" ref="E325:E388" ca="1" si="154">IF(AND(L324&lt;L_rampe,Poussee&lt;Poids*SIN(M324)),0,(-W324+Poussee)/m*SIN(M324)+U324/m*COS(M324)-Poids/m)</f>
        <v>1.4078281802614043</v>
      </c>
      <c r="F325" s="304">
        <f t="shared" ref="F325:F388" ca="1" si="155">SQRT(acc_x^2+acc_z^2)</f>
        <v>1.8805438785915825</v>
      </c>
      <c r="G325" s="306">
        <f t="shared" ref="G325:G388" ca="1" si="156">G324+acc_x*pas</f>
        <v>26.093681975625859</v>
      </c>
      <c r="H325" s="307">
        <f t="shared" ref="H325:H388" ca="1" si="157">H324+acc_z*pas</f>
        <v>234.67787976241917</v>
      </c>
      <c r="I325" s="304">
        <f t="shared" ref="I325:I388" ca="1" si="158">SQRT(vit_x^2+vit_z^2)</f>
        <v>236.12409341028624</v>
      </c>
      <c r="J325" s="306">
        <f t="shared" ref="J325:J388" ca="1" si="159">J324+0.5*(vit_x+G324)*pas*(K324&gt;=0)</f>
        <v>47.462657233680353</v>
      </c>
      <c r="K325" s="307">
        <f t="shared" ref="K325:K388" ca="1" si="160">K324+0.5*(vit_z+H324)*pas</f>
        <v>452.7622670037851</v>
      </c>
      <c r="L325" s="304">
        <f t="shared" ca="1" si="145"/>
        <v>455.24320341339376</v>
      </c>
      <c r="M325" s="306">
        <f t="shared" ref="M325:M388" ca="1" si="161">IF(AND(L324&gt;L_rampe,G325&gt;0),ATAN2(G325,H325),$M$4)</f>
        <v>1.4600618170440411</v>
      </c>
      <c r="N325" s="304">
        <f t="shared" ref="N325:N388" ca="1" si="162">DEGREES(Beta)</f>
        <v>83.655379944825725</v>
      </c>
      <c r="P325" s="310">
        <f t="shared" ref="P325:P388" ca="1" si="163">MATCH(t-pas/2-T_ini,CdP_t)</f>
        <v>9</v>
      </c>
      <c r="Q325" s="304">
        <f t="shared" ref="Q325:Q388" ca="1" si="164">(INDEX(CdP,2,i_P+1)-INDEX(CdP,2,i_P+0))/(INDEX(CdP,1,i_P+1)-INDEX(CdP,1,i_P+0))*(t-pas/2-T_ini-INDEX(CdP,1,i_P+0))+INDEX(CdP,2,i_P+0)</f>
        <v>222.07407407408843</v>
      </c>
      <c r="R325" s="306">
        <f t="shared" ref="R325:R388" ca="1" si="165">Poussee/(g*ISP)</f>
        <v>0.11144863096456581</v>
      </c>
      <c r="S325" s="307">
        <f t="shared" ref="S325:S388" ca="1" si="166">S324-Débit*pas</f>
        <v>6.1726860257460077</v>
      </c>
      <c r="T325" s="304">
        <f t="shared" ca="1" si="146"/>
        <v>60.554049912568338</v>
      </c>
      <c r="U325" s="311">
        <f t="shared" ca="1" si="147"/>
        <v>0</v>
      </c>
      <c r="V325" s="306">
        <f t="shared" ca="1" si="148"/>
        <v>1.1707644136435869</v>
      </c>
      <c r="W325" s="304">
        <f t="shared" ca="1" si="149"/>
        <v>152.38763682852175</v>
      </c>
      <c r="Y325" s="314" t="str">
        <f t="shared" ref="Y325:Y388" ca="1" si="167">IF(AND(pos_z&lt;=0,K324&gt;0),"Impact balistique","") &amp; IF(AND(H326&lt;0,vit_z&gt;=0),"Apogée","") &amp; IF(AND(Poussee=0,Q324&gt;0),"Fin de propulsion","") &amp; IF(AND(L326&gt;L_rampe,pos_xz&lt;=L_rampe),"Sortie de rampe","")</f>
        <v/>
      </c>
      <c r="Z325" s="315" t="str">
        <f t="shared" ref="Z325:Z388" ca="1" si="168">IF(ABS(t-T_para)&lt;pas/2,"Para","")</f>
        <v/>
      </c>
      <c r="AA325" s="316" t="str">
        <f t="shared" ref="AA325:AA388" ca="1" si="169">IF(ABS(t-T_satellite)&lt;pas/2,"Satellite","")</f>
        <v/>
      </c>
      <c r="AC325" s="310" t="e">
        <f t="shared" ref="AC325:AC388" ca="1" si="170">IF(ABS(t-ROUND(t,0))&lt;0.001,t,NA())</f>
        <v>#N/A</v>
      </c>
      <c r="AD325" s="323" t="e">
        <f t="shared" ref="AD325:AD388" ca="1" si="171">IF(ABS(t-ROUND(t,0))&lt;0.001,pos_x,NA())</f>
        <v>#N/A</v>
      </c>
      <c r="AE325" s="324">
        <f t="shared" ca="1" si="150"/>
        <v>452.7622670037851</v>
      </c>
      <c r="AG325" s="306">
        <f t="shared" ref="AG325:AG388" ca="1" si="172">IF(AND(L324&lt;L_rampe,Poussee&lt;Poids*SIN(M324)),0,(-W324+Poussee)/m-Poids*SIN(M324)/m)</f>
        <v>1.5369355794120327</v>
      </c>
      <c r="AH325" s="304">
        <f t="shared" ref="AH325:AH388" ca="1" si="173">IF(AND(L324&lt;L_rampe,Poussee&lt;Poids*SIN(M324)), g*SIN(M324), (-W324+Poussee)/m)</f>
        <v>11.286900999656062</v>
      </c>
    </row>
    <row r="326" spans="1:34" x14ac:dyDescent="0.2">
      <c r="A326" s="347">
        <f t="shared" ca="1" si="151"/>
        <v>0.01</v>
      </c>
      <c r="B326" s="304">
        <f t="shared" ca="1" si="152"/>
        <v>3.2199999999999753</v>
      </c>
      <c r="D326" s="306">
        <f t="shared" ca="1" si="153"/>
        <v>1.1430185254995668</v>
      </c>
      <c r="E326" s="307">
        <f t="shared" ca="1" si="154"/>
        <v>0.46992769835890691</v>
      </c>
      <c r="F326" s="304">
        <f t="shared" ca="1" si="155"/>
        <v>1.2358492591413015</v>
      </c>
      <c r="G326" s="306">
        <f t="shared" ca="1" si="156"/>
        <v>26.105112160880854</v>
      </c>
      <c r="H326" s="307">
        <f t="shared" ca="1" si="157"/>
        <v>234.68257903940275</v>
      </c>
      <c r="I326" s="304">
        <f t="shared" ca="1" si="158"/>
        <v>236.13002728479427</v>
      </c>
      <c r="J326" s="306">
        <f t="shared" ca="1" si="159"/>
        <v>47.723651204362888</v>
      </c>
      <c r="K326" s="307">
        <f t="shared" ca="1" si="160"/>
        <v>455.10906929779424</v>
      </c>
      <c r="L326" s="304">
        <f t="shared" ca="1" si="145"/>
        <v>457.6044272528186</v>
      </c>
      <c r="M326" s="306">
        <f t="shared" ca="1" si="161"/>
        <v>1.460015906456388</v>
      </c>
      <c r="N326" s="304">
        <f t="shared" ca="1" si="162"/>
        <v>83.652749461918233</v>
      </c>
      <c r="P326" s="310">
        <f t="shared" ca="1" si="163"/>
        <v>9</v>
      </c>
      <c r="Q326" s="304">
        <f t="shared" ca="1" si="164"/>
        <v>216.2222222222367</v>
      </c>
      <c r="R326" s="306">
        <f t="shared" ca="1" si="165"/>
        <v>0.1085118591679681</v>
      </c>
      <c r="S326" s="307">
        <f t="shared" ca="1" si="166"/>
        <v>6.1716009071543283</v>
      </c>
      <c r="T326" s="304">
        <f t="shared" ca="1" si="146"/>
        <v>60.543404899183962</v>
      </c>
      <c r="U326" s="311">
        <f t="shared" ca="1" si="147"/>
        <v>0</v>
      </c>
      <c r="V326" s="306">
        <f t="shared" ca="1" si="148"/>
        <v>1.170489549041164</v>
      </c>
      <c r="W326" s="304">
        <f t="shared" ca="1" si="149"/>
        <v>152.35951762984365</v>
      </c>
      <c r="Y326" s="314" t="str">
        <f t="shared" ca="1" si="167"/>
        <v/>
      </c>
      <c r="Z326" s="315" t="str">
        <f t="shared" ca="1" si="168"/>
        <v/>
      </c>
      <c r="AA326" s="316" t="str">
        <f t="shared" ca="1" si="169"/>
        <v/>
      </c>
      <c r="AC326" s="310" t="e">
        <f t="shared" ca="1" si="170"/>
        <v>#N/A</v>
      </c>
      <c r="AD326" s="323" t="e">
        <f t="shared" ca="1" si="171"/>
        <v>#N/A</v>
      </c>
      <c r="AE326" s="324">
        <f t="shared" ca="1" si="150"/>
        <v>455.10906929779424</v>
      </c>
      <c r="AG326" s="306">
        <f t="shared" ca="1" si="172"/>
        <v>0.59336256527489795</v>
      </c>
      <c r="AH326" s="304">
        <f t="shared" ca="1" si="173"/>
        <v>10.34327824401538</v>
      </c>
    </row>
    <row r="327" spans="1:34" x14ac:dyDescent="0.2">
      <c r="A327" s="347">
        <f t="shared" ca="1" si="151"/>
        <v>0.01</v>
      </c>
      <c r="B327" s="304">
        <f t="shared" ca="1" si="152"/>
        <v>3.2299999999999751</v>
      </c>
      <c r="D327" s="306">
        <f t="shared" ca="1" si="153"/>
        <v>1.0393457891168201</v>
      </c>
      <c r="E327" s="307">
        <f t="shared" ca="1" si="154"/>
        <v>-0.46637608448229173</v>
      </c>
      <c r="F327" s="304">
        <f t="shared" ca="1" si="155"/>
        <v>1.1391866930103682</v>
      </c>
      <c r="G327" s="306">
        <f t="shared" ca="1" si="156"/>
        <v>26.115505618772023</v>
      </c>
      <c r="H327" s="307">
        <f t="shared" ca="1" si="157"/>
        <v>234.67791527855792</v>
      </c>
      <c r="I327" s="304">
        <f t="shared" ca="1" si="158"/>
        <v>236.12654139933977</v>
      </c>
      <c r="J327" s="306">
        <f t="shared" ca="1" si="159"/>
        <v>47.984754293261155</v>
      </c>
      <c r="K327" s="307">
        <f t="shared" ca="1" si="160"/>
        <v>457.45587176938403</v>
      </c>
      <c r="L327" s="304">
        <f t="shared" ca="1" si="145"/>
        <v>459.96566313244705</v>
      </c>
      <c r="M327" s="306">
        <f t="shared" ca="1" si="161"/>
        <v>1.4599699762340459</v>
      </c>
      <c r="N327" s="304">
        <f t="shared" ca="1" si="162"/>
        <v>83.650117854025936</v>
      </c>
      <c r="P327" s="310">
        <f t="shared" ca="1" si="163"/>
        <v>9</v>
      </c>
      <c r="Q327" s="304">
        <f t="shared" ca="1" si="164"/>
        <v>210.37037037038499</v>
      </c>
      <c r="R327" s="306">
        <f t="shared" ca="1" si="165"/>
        <v>0.10557508737137039</v>
      </c>
      <c r="S327" s="307">
        <f t="shared" ca="1" si="166"/>
        <v>6.1705451562806148</v>
      </c>
      <c r="T327" s="304">
        <f t="shared" ca="1" si="146"/>
        <v>60.533047983112837</v>
      </c>
      <c r="U327" s="311">
        <f t="shared" ca="1" si="147"/>
        <v>0</v>
      </c>
      <c r="V327" s="306">
        <f t="shared" ca="1" si="148"/>
        <v>1.170214747480814</v>
      </c>
      <c r="W327" s="304">
        <f t="shared" ca="1" si="149"/>
        <v>152.31925009417628</v>
      </c>
      <c r="Y327" s="314" t="str">
        <f t="shared" ca="1" si="167"/>
        <v/>
      </c>
      <c r="Z327" s="315" t="str">
        <f t="shared" ca="1" si="168"/>
        <v/>
      </c>
      <c r="AA327" s="316" t="str">
        <f t="shared" ca="1" si="169"/>
        <v/>
      </c>
      <c r="AC327" s="310" t="e">
        <f t="shared" ca="1" si="170"/>
        <v>#N/A</v>
      </c>
      <c r="AD327" s="323" t="e">
        <f t="shared" ca="1" si="171"/>
        <v>#N/A</v>
      </c>
      <c r="AE327" s="324">
        <f t="shared" ca="1" si="150"/>
        <v>457.45587176938403</v>
      </c>
      <c r="AG327" s="306">
        <f t="shared" ca="1" si="172"/>
        <v>-0.34861345190328485</v>
      </c>
      <c r="AH327" s="304">
        <f t="shared" ca="1" si="173"/>
        <v>9.4012524454983843</v>
      </c>
    </row>
    <row r="328" spans="1:34" x14ac:dyDescent="0.2">
      <c r="A328" s="347">
        <f t="shared" ca="1" si="151"/>
        <v>0.01</v>
      </c>
      <c r="B328" s="304">
        <f t="shared" ca="1" si="152"/>
        <v>3.2399999999999749</v>
      </c>
      <c r="D328" s="306">
        <f t="shared" ca="1" si="153"/>
        <v>0.93576491703051368</v>
      </c>
      <c r="E328" s="307">
        <f t="shared" ca="1" si="154"/>
        <v>-1.4010737810229763</v>
      </c>
      <c r="F328" s="304">
        <f t="shared" ca="1" si="155"/>
        <v>1.6848334397842248</v>
      </c>
      <c r="G328" s="306">
        <f t="shared" ca="1" si="156"/>
        <v>26.124863267942327</v>
      </c>
      <c r="H328" s="307">
        <f t="shared" ca="1" si="157"/>
        <v>234.66390454074769</v>
      </c>
      <c r="I328" s="304">
        <f t="shared" ca="1" si="158"/>
        <v>236.11365181852113</v>
      </c>
      <c r="J328" s="306">
        <f t="shared" ca="1" si="159"/>
        <v>48.245956137694726</v>
      </c>
      <c r="K328" s="307">
        <f t="shared" ca="1" si="160"/>
        <v>459.80258086848056</v>
      </c>
      <c r="L328" s="304">
        <f t="shared" ca="1" si="145"/>
        <v>462.32681693468311</v>
      </c>
      <c r="M328" s="306">
        <f t="shared" ca="1" si="161"/>
        <v>1.4599240245383796</v>
      </c>
      <c r="N328" s="304">
        <f t="shared" ca="1" si="162"/>
        <v>83.647485015802786</v>
      </c>
      <c r="P328" s="310">
        <f t="shared" ca="1" si="163"/>
        <v>9</v>
      </c>
      <c r="Q328" s="304">
        <f t="shared" ca="1" si="164"/>
        <v>204.51851851853326</v>
      </c>
      <c r="R328" s="306">
        <f t="shared" ca="1" si="165"/>
        <v>0.10263831557477268</v>
      </c>
      <c r="S328" s="307">
        <f t="shared" ca="1" si="166"/>
        <v>6.1695187731248673</v>
      </c>
      <c r="T328" s="304">
        <f t="shared" ca="1" si="146"/>
        <v>60.52297916435495</v>
      </c>
      <c r="U328" s="311">
        <f t="shared" ca="1" si="147"/>
        <v>0</v>
      </c>
      <c r="V328" s="306">
        <f t="shared" ca="1" si="148"/>
        <v>1.1699400198914356</v>
      </c>
      <c r="W328" s="304">
        <f t="shared" ca="1" si="149"/>
        <v>152.26686546265063</v>
      </c>
      <c r="Y328" s="314" t="str">
        <f t="shared" ca="1" si="167"/>
        <v/>
      </c>
      <c r="Z328" s="315" t="str">
        <f t="shared" ca="1" si="168"/>
        <v/>
      </c>
      <c r="AA328" s="316" t="str">
        <f t="shared" ca="1" si="169"/>
        <v/>
      </c>
      <c r="AC328" s="310" t="e">
        <f t="shared" ca="1" si="170"/>
        <v>#N/A</v>
      </c>
      <c r="AD328" s="323" t="e">
        <f t="shared" ca="1" si="171"/>
        <v>#N/A</v>
      </c>
      <c r="AE328" s="324">
        <f t="shared" ca="1" si="150"/>
        <v>459.80258086848056</v>
      </c>
      <c r="AG328" s="306">
        <f t="shared" ca="1" si="172"/>
        <v>-1.2889830102521884</v>
      </c>
      <c r="AH328" s="304">
        <f t="shared" ca="1" si="173"/>
        <v>8.4608330639567839</v>
      </c>
    </row>
    <row r="329" spans="1:34" x14ac:dyDescent="0.2">
      <c r="A329" s="347">
        <f t="shared" ca="1" si="151"/>
        <v>0.01</v>
      </c>
      <c r="B329" s="304">
        <f t="shared" ca="1" si="152"/>
        <v>3.2499999999999747</v>
      </c>
      <c r="D329" s="306">
        <f t="shared" ca="1" si="153"/>
        <v>0.83227710308434022</v>
      </c>
      <c r="E329" s="307">
        <f t="shared" ca="1" si="154"/>
        <v>-2.334156292550178</v>
      </c>
      <c r="F329" s="304">
        <f t="shared" ca="1" si="155"/>
        <v>2.4780982172565422</v>
      </c>
      <c r="G329" s="306">
        <f t="shared" ca="1" si="156"/>
        <v>26.133186038973172</v>
      </c>
      <c r="H329" s="307">
        <f t="shared" ca="1" si="157"/>
        <v>234.64056297782219</v>
      </c>
      <c r="I329" s="304">
        <f t="shared" ca="1" si="158"/>
        <v>236.09137469864697</v>
      </c>
      <c r="J329" s="306">
        <f t="shared" ca="1" si="159"/>
        <v>48.507246384229305</v>
      </c>
      <c r="K329" s="307">
        <f t="shared" ca="1" si="160"/>
        <v>462.14910320607339</v>
      </c>
      <c r="L329" s="304">
        <f t="shared" ca="1" si="145"/>
        <v>464.68779470302229</v>
      </c>
      <c r="M329" s="306">
        <f t="shared" ca="1" si="161"/>
        <v>1.4598780495302741</v>
      </c>
      <c r="N329" s="304">
        <f t="shared" ca="1" si="162"/>
        <v>83.644850841875254</v>
      </c>
      <c r="P329" s="310">
        <f t="shared" ca="1" si="163"/>
        <v>9</v>
      </c>
      <c r="Q329" s="304">
        <f t="shared" ca="1" si="164"/>
        <v>198.66666666668152</v>
      </c>
      <c r="R329" s="306">
        <f t="shared" ca="1" si="165"/>
        <v>9.9701543778174959E-2</v>
      </c>
      <c r="S329" s="307">
        <f t="shared" ca="1" si="166"/>
        <v>6.1685217576870857</v>
      </c>
      <c r="T329" s="304">
        <f t="shared" ca="1" si="146"/>
        <v>60.513198442910316</v>
      </c>
      <c r="U329" s="311">
        <f t="shared" ca="1" si="147"/>
        <v>0</v>
      </c>
      <c r="V329" s="306">
        <f t="shared" ca="1" si="148"/>
        <v>1.1696653771730423</v>
      </c>
      <c r="W329" s="304">
        <f t="shared" ca="1" si="149"/>
        <v>152.20239651185219</v>
      </c>
      <c r="Y329" s="314" t="str">
        <f t="shared" ca="1" si="167"/>
        <v/>
      </c>
      <c r="Z329" s="315" t="str">
        <f t="shared" ca="1" si="168"/>
        <v/>
      </c>
      <c r="AA329" s="316" t="str">
        <f t="shared" ca="1" si="169"/>
        <v/>
      </c>
      <c r="AC329" s="310" t="e">
        <f t="shared" ca="1" si="170"/>
        <v>#N/A</v>
      </c>
      <c r="AD329" s="323" t="e">
        <f t="shared" ca="1" si="171"/>
        <v>#N/A</v>
      </c>
      <c r="AE329" s="324">
        <f t="shared" ca="1" si="150"/>
        <v>462.14910320607339</v>
      </c>
      <c r="AG329" s="306">
        <f t="shared" ca="1" si="172"/>
        <v>-2.2277369387490982</v>
      </c>
      <c r="AH329" s="304">
        <f t="shared" ca="1" si="173"/>
        <v>7.5220292683913144</v>
      </c>
    </row>
    <row r="330" spans="1:34" x14ac:dyDescent="0.2">
      <c r="A330" s="347">
        <f t="shared" ca="1" si="151"/>
        <v>0.01</v>
      </c>
      <c r="B330" s="304">
        <f t="shared" ca="1" si="152"/>
        <v>3.2599999999999745</v>
      </c>
      <c r="D330" s="306">
        <f t="shared" ca="1" si="153"/>
        <v>0.72888350413711467</v>
      </c>
      <c r="E330" s="307">
        <f t="shared" ca="1" si="154"/>
        <v>-3.2656148071297242</v>
      </c>
      <c r="F330" s="304">
        <f t="shared" ca="1" si="155"/>
        <v>3.3459694008086962</v>
      </c>
      <c r="G330" s="306">
        <f t="shared" ca="1" si="156"/>
        <v>26.140474874014544</v>
      </c>
      <c r="H330" s="307">
        <f t="shared" ca="1" si="157"/>
        <v>234.60790682975087</v>
      </c>
      <c r="I330" s="304">
        <f t="shared" ca="1" si="158"/>
        <v>236.05972628484525</v>
      </c>
      <c r="J330" s="306">
        <f t="shared" ca="1" si="159"/>
        <v>48.768614688794244</v>
      </c>
      <c r="K330" s="307">
        <f t="shared" ca="1" si="160"/>
        <v>464.49534555511127</v>
      </c>
      <c r="L330" s="304">
        <f t="shared" ca="1" si="145"/>
        <v>467.04850264295499</v>
      </c>
      <c r="M330" s="306">
        <f t="shared" ca="1" si="161"/>
        <v>1.459832049369719</v>
      </c>
      <c r="N330" s="304">
        <f t="shared" ca="1" si="162"/>
        <v>83.642215226818522</v>
      </c>
      <c r="P330" s="310">
        <f t="shared" ca="1" si="163"/>
        <v>9</v>
      </c>
      <c r="Q330" s="304">
        <f t="shared" ca="1" si="164"/>
        <v>192.81481481482979</v>
      </c>
      <c r="R330" s="306">
        <f t="shared" ca="1" si="165"/>
        <v>9.6764771981577249E-2</v>
      </c>
      <c r="S330" s="307">
        <f t="shared" ca="1" si="166"/>
        <v>6.1675541099672699</v>
      </c>
      <c r="T330" s="304">
        <f t="shared" ca="1" si="146"/>
        <v>60.503705818778919</v>
      </c>
      <c r="U330" s="311">
        <f t="shared" ca="1" si="147"/>
        <v>0</v>
      </c>
      <c r="V330" s="306">
        <f t="shared" ca="1" si="148"/>
        <v>1.16939083019669</v>
      </c>
      <c r="W330" s="304">
        <f t="shared" ca="1" si="149"/>
        <v>152.12587753881738</v>
      </c>
      <c r="Y330" s="314" t="str">
        <f t="shared" ca="1" si="167"/>
        <v/>
      </c>
      <c r="Z330" s="315" t="str">
        <f t="shared" ca="1" si="168"/>
        <v/>
      </c>
      <c r="AA330" s="316" t="str">
        <f t="shared" ca="1" si="169"/>
        <v/>
      </c>
      <c r="AC330" s="310" t="e">
        <f t="shared" ca="1" si="170"/>
        <v>#N/A</v>
      </c>
      <c r="AD330" s="323" t="e">
        <f t="shared" ca="1" si="171"/>
        <v>#N/A</v>
      </c>
      <c r="AE330" s="324">
        <f t="shared" ca="1" si="150"/>
        <v>464.49534555511127</v>
      </c>
      <c r="AG330" s="306">
        <f t="shared" ca="1" si="172"/>
        <v>-3.164866355465203</v>
      </c>
      <c r="AH330" s="304">
        <f t="shared" ca="1" si="173"/>
        <v>6.5848499387049761</v>
      </c>
    </row>
    <row r="331" spans="1:34" x14ac:dyDescent="0.2">
      <c r="A331" s="347">
        <f t="shared" ca="1" si="151"/>
        <v>0.01</v>
      </c>
      <c r="B331" s="304">
        <f t="shared" ca="1" si="152"/>
        <v>3.2699999999999743</v>
      </c>
      <c r="D331" s="306">
        <f t="shared" ca="1" si="153"/>
        <v>0.62558524022530959</v>
      </c>
      <c r="E331" s="307">
        <f t="shared" ca="1" si="154"/>
        <v>-4.1954407978355581</v>
      </c>
      <c r="F331" s="304">
        <f t="shared" ca="1" si="155"/>
        <v>4.2418251238035287</v>
      </c>
      <c r="G331" s="306">
        <f t="shared" ca="1" si="156"/>
        <v>26.146730726416795</v>
      </c>
      <c r="H331" s="307">
        <f t="shared" ca="1" si="157"/>
        <v>234.56595242177252</v>
      </c>
      <c r="I331" s="304">
        <f t="shared" ca="1" si="158"/>
        <v>236.01872290819006</v>
      </c>
      <c r="J331" s="306">
        <f t="shared" ca="1" si="159"/>
        <v>49.030050716796403</v>
      </c>
      <c r="K331" s="307">
        <f t="shared" ca="1" si="160"/>
        <v>466.84121485136887</v>
      </c>
      <c r="L331" s="304">
        <f t="shared" ca="1" si="145"/>
        <v>469.4088471228398</v>
      </c>
      <c r="M331" s="306">
        <f t="shared" ca="1" si="161"/>
        <v>1.459786022215392</v>
      </c>
      <c r="N331" s="304">
        <f t="shared" ca="1" si="162"/>
        <v>83.639578065132596</v>
      </c>
      <c r="P331" s="310">
        <f t="shared" ca="1" si="163"/>
        <v>9</v>
      </c>
      <c r="Q331" s="304">
        <f t="shared" ca="1" si="164"/>
        <v>186.96296296297808</v>
      </c>
      <c r="R331" s="306">
        <f t="shared" ca="1" si="165"/>
        <v>9.382800018497954E-2</v>
      </c>
      <c r="S331" s="307">
        <f t="shared" ca="1" si="166"/>
        <v>6.1666158299654201</v>
      </c>
      <c r="T331" s="304">
        <f t="shared" ca="1" si="146"/>
        <v>60.494501291960773</v>
      </c>
      <c r="U331" s="311">
        <f t="shared" ca="1" si="147"/>
        <v>0</v>
      </c>
      <c r="V331" s="306">
        <f t="shared" ca="1" si="148"/>
        <v>1.169116389804407</v>
      </c>
      <c r="W331" s="304">
        <f t="shared" ca="1" si="149"/>
        <v>152.03734434602742</v>
      </c>
      <c r="Y331" s="314" t="str">
        <f t="shared" ca="1" si="167"/>
        <v/>
      </c>
      <c r="Z331" s="315" t="str">
        <f t="shared" ca="1" si="168"/>
        <v/>
      </c>
      <c r="AA331" s="316" t="str">
        <f t="shared" ca="1" si="169"/>
        <v/>
      </c>
      <c r="AC331" s="310" t="e">
        <f t="shared" ca="1" si="170"/>
        <v>#N/A</v>
      </c>
      <c r="AD331" s="323" t="e">
        <f t="shared" ca="1" si="171"/>
        <v>#N/A</v>
      </c>
      <c r="AE331" s="324">
        <f t="shared" ca="1" si="150"/>
        <v>466.84121485136887</v>
      </c>
      <c r="AG331" s="306">
        <f t="shared" ca="1" si="172"/>
        <v>-4.1003626657886887</v>
      </c>
      <c r="AH331" s="304">
        <f t="shared" ca="1" si="173"/>
        <v>5.6493036674794865</v>
      </c>
    </row>
    <row r="332" spans="1:34" x14ac:dyDescent="0.2">
      <c r="A332" s="347">
        <f t="shared" ca="1" si="151"/>
        <v>0.01</v>
      </c>
      <c r="B332" s="304">
        <f t="shared" ca="1" si="152"/>
        <v>3.279999999999974</v>
      </c>
      <c r="D332" s="306">
        <f t="shared" ca="1" si="153"/>
        <v>0.52238339472649564</v>
      </c>
      <c r="E332" s="307">
        <f t="shared" ca="1" si="154"/>
        <v>-5.1236260209564071</v>
      </c>
      <c r="F332" s="304">
        <f t="shared" ca="1" si="155"/>
        <v>5.1501871823951761</v>
      </c>
      <c r="G332" s="306">
        <f t="shared" ca="1" si="156"/>
        <v>26.151954560364061</v>
      </c>
      <c r="H332" s="307">
        <f t="shared" ca="1" si="157"/>
        <v>234.51471616156294</v>
      </c>
      <c r="I332" s="304">
        <f t="shared" ca="1" si="158"/>
        <v>235.96838098284647</v>
      </c>
      <c r="J332" s="306">
        <f t="shared" ca="1" si="159"/>
        <v>49.291544143230304</v>
      </c>
      <c r="K332" s="307">
        <f t="shared" ca="1" si="160"/>
        <v>469.18661819428553</v>
      </c>
      <c r="L332" s="304">
        <f t="shared" ca="1" si="145"/>
        <v>471.76873467474957</v>
      </c>
      <c r="M332" s="306">
        <f t="shared" ca="1" si="161"/>
        <v>1.4597399662242436</v>
      </c>
      <c r="N332" s="304">
        <f t="shared" ca="1" si="162"/>
        <v>83.636939251218493</v>
      </c>
      <c r="P332" s="310">
        <f t="shared" ca="1" si="163"/>
        <v>9</v>
      </c>
      <c r="Q332" s="304">
        <f t="shared" ca="1" si="164"/>
        <v>181.11111111112635</v>
      </c>
      <c r="R332" s="306">
        <f t="shared" ca="1" si="165"/>
        <v>9.0891228388381831E-2</v>
      </c>
      <c r="S332" s="307">
        <f t="shared" ca="1" si="166"/>
        <v>6.1657069176815362</v>
      </c>
      <c r="T332" s="304">
        <f t="shared" ca="1" si="146"/>
        <v>60.485584862455873</v>
      </c>
      <c r="U332" s="311">
        <f t="shared" ca="1" si="147"/>
        <v>0</v>
      </c>
      <c r="V332" s="306">
        <f t="shared" ca="1" si="148"/>
        <v>1.1688420668091302</v>
      </c>
      <c r="W332" s="304">
        <f t="shared" ca="1" si="149"/>
        <v>151.93683422640612</v>
      </c>
      <c r="Y332" s="314" t="str">
        <f t="shared" ca="1" si="167"/>
        <v/>
      </c>
      <c r="Z332" s="315" t="str">
        <f t="shared" ca="1" si="168"/>
        <v/>
      </c>
      <c r="AA332" s="316" t="str">
        <f t="shared" ca="1" si="169"/>
        <v/>
      </c>
      <c r="AC332" s="310" t="e">
        <f t="shared" ca="1" si="170"/>
        <v>#N/A</v>
      </c>
      <c r="AD332" s="323" t="e">
        <f t="shared" ca="1" si="171"/>
        <v>#N/A</v>
      </c>
      <c r="AE332" s="324">
        <f t="shared" ca="1" si="150"/>
        <v>469.18661819428553</v>
      </c>
      <c r="AG332" s="306">
        <f t="shared" ca="1" si="172"/>
        <v>-5.0342175606252315</v>
      </c>
      <c r="AH332" s="304">
        <f t="shared" ca="1" si="173"/>
        <v>4.7153987617743276</v>
      </c>
    </row>
    <row r="333" spans="1:34" x14ac:dyDescent="0.2">
      <c r="A333" s="347">
        <f t="shared" ca="1" si="151"/>
        <v>0.01</v>
      </c>
      <c r="B333" s="304">
        <f t="shared" ca="1" si="152"/>
        <v>3.2899999999999738</v>
      </c>
      <c r="D333" s="306">
        <f t="shared" ca="1" si="153"/>
        <v>0.41927901452356786</v>
      </c>
      <c r="E333" s="307">
        <f t="shared" ca="1" si="154"/>
        <v>-6.0501625141809061</v>
      </c>
      <c r="F333" s="304">
        <f t="shared" ca="1" si="155"/>
        <v>6.0646732261532179</v>
      </c>
      <c r="G333" s="306">
        <f t="shared" ca="1" si="156"/>
        <v>26.156147350509297</v>
      </c>
      <c r="H333" s="307">
        <f t="shared" ca="1" si="157"/>
        <v>234.45421453642115</v>
      </c>
      <c r="I333" s="304">
        <f t="shared" ca="1" si="158"/>
        <v>235.90871700323356</v>
      </c>
      <c r="J333" s="306">
        <f t="shared" ca="1" si="159"/>
        <v>49.553084652784669</v>
      </c>
      <c r="K333" s="307">
        <f t="shared" ca="1" si="160"/>
        <v>471.53146284777546</v>
      </c>
      <c r="L333" s="304">
        <f t="shared" ca="1" si="145"/>
        <v>474.12807199528811</v>
      </c>
      <c r="M333" s="306">
        <f t="shared" ca="1" si="161"/>
        <v>1.4596938795510808</v>
      </c>
      <c r="N333" s="304">
        <f t="shared" ca="1" si="162"/>
        <v>83.634298679354472</v>
      </c>
      <c r="P333" s="310">
        <f t="shared" ca="1" si="163"/>
        <v>9</v>
      </c>
      <c r="Q333" s="304">
        <f t="shared" ca="1" si="164"/>
        <v>175.25925925927461</v>
      </c>
      <c r="R333" s="306">
        <f t="shared" ca="1" si="165"/>
        <v>8.7954456591784108E-2</v>
      </c>
      <c r="S333" s="307">
        <f t="shared" ca="1" si="166"/>
        <v>6.1648273731156182</v>
      </c>
      <c r="T333" s="304">
        <f t="shared" ca="1" si="146"/>
        <v>60.476956530264218</v>
      </c>
      <c r="U333" s="311">
        <f t="shared" ca="1" si="147"/>
        <v>0</v>
      </c>
      <c r="V333" s="306">
        <f t="shared" ca="1" si="148"/>
        <v>1.1685678719946466</v>
      </c>
      <c r="W333" s="304">
        <f t="shared" ca="1" si="149"/>
        <v>151.82438594832428</v>
      </c>
      <c r="Y333" s="314" t="str">
        <f t="shared" ca="1" si="167"/>
        <v/>
      </c>
      <c r="Z333" s="315" t="str">
        <f t="shared" ca="1" si="168"/>
        <v/>
      </c>
      <c r="AA333" s="316" t="str">
        <f t="shared" ca="1" si="169"/>
        <v/>
      </c>
      <c r="AC333" s="310" t="e">
        <f t="shared" ca="1" si="170"/>
        <v>#N/A</v>
      </c>
      <c r="AD333" s="323" t="e">
        <f t="shared" ca="1" si="171"/>
        <v>#N/A</v>
      </c>
      <c r="AE333" s="324">
        <f t="shared" ca="1" si="150"/>
        <v>471.53146284777546</v>
      </c>
      <c r="AG333" s="306">
        <f t="shared" ca="1" si="172"/>
        <v>-5.9664230145769981</v>
      </c>
      <c r="AH333" s="304">
        <f t="shared" ca="1" si="173"/>
        <v>3.7831432449472895</v>
      </c>
    </row>
    <row r="334" spans="1:34" x14ac:dyDescent="0.2">
      <c r="A334" s="347">
        <f t="shared" ca="1" si="151"/>
        <v>0.01</v>
      </c>
      <c r="B334" s="304">
        <f t="shared" ca="1" si="152"/>
        <v>3.2999999999999736</v>
      </c>
      <c r="D334" s="306">
        <f t="shared" ca="1" si="153"/>
        <v>0.31627311016968895</v>
      </c>
      <c r="E334" s="307">
        <f t="shared" ca="1" si="154"/>
        <v>-6.9750425947618968</v>
      </c>
      <c r="F334" s="304">
        <f t="shared" ca="1" si="155"/>
        <v>6.9822093837809804</v>
      </c>
      <c r="G334" s="306">
        <f t="shared" ca="1" si="156"/>
        <v>26.159310081610993</v>
      </c>
      <c r="H334" s="307">
        <f t="shared" ca="1" si="157"/>
        <v>234.38446411047352</v>
      </c>
      <c r="I334" s="304">
        <f t="shared" ca="1" si="158"/>
        <v>235.83974754120587</v>
      </c>
      <c r="J334" s="306">
        <f t="shared" ca="1" si="159"/>
        <v>49.814661939945267</v>
      </c>
      <c r="K334" s="307">
        <f t="shared" ca="1" si="160"/>
        <v>473.87565624100995</v>
      </c>
      <c r="L334" s="304">
        <f t="shared" ca="1" si="145"/>
        <v>476.48676594637845</v>
      </c>
      <c r="M334" s="306">
        <f t="shared" ca="1" si="161"/>
        <v>1.4596477603481504</v>
      </c>
      <c r="N334" s="304">
        <f t="shared" ca="1" si="162"/>
        <v>83.631656243672055</v>
      </c>
      <c r="P334" s="310">
        <f t="shared" ca="1" si="163"/>
        <v>9</v>
      </c>
      <c r="Q334" s="304">
        <f t="shared" ca="1" si="164"/>
        <v>169.40740740742291</v>
      </c>
      <c r="R334" s="306">
        <f t="shared" ca="1" si="165"/>
        <v>8.5017684795186413E-2</v>
      </c>
      <c r="S334" s="307">
        <f t="shared" ca="1" si="166"/>
        <v>6.1639771962676662</v>
      </c>
      <c r="T334" s="304">
        <f t="shared" ca="1" si="146"/>
        <v>60.468616295385807</v>
      </c>
      <c r="U334" s="311">
        <f t="shared" ca="1" si="147"/>
        <v>0</v>
      </c>
      <c r="V334" s="306">
        <f t="shared" ca="1" si="148"/>
        <v>1.1682938161155352</v>
      </c>
      <c r="W334" s="304">
        <f t="shared" ca="1" si="149"/>
        <v>151.70003974061507</v>
      </c>
      <c r="Y334" s="314" t="str">
        <f t="shared" ca="1" si="167"/>
        <v/>
      </c>
      <c r="Z334" s="315" t="str">
        <f t="shared" ca="1" si="168"/>
        <v/>
      </c>
      <c r="AA334" s="316" t="str">
        <f t="shared" ca="1" si="169"/>
        <v/>
      </c>
      <c r="AC334" s="310" t="e">
        <f t="shared" ca="1" si="170"/>
        <v>#N/A</v>
      </c>
      <c r="AD334" s="323" t="e">
        <f t="shared" ca="1" si="171"/>
        <v>#N/A</v>
      </c>
      <c r="AE334" s="324">
        <f t="shared" ca="1" si="150"/>
        <v>473.87565624100995</v>
      </c>
      <c r="AG334" s="306">
        <f t="shared" ca="1" si="172"/>
        <v>-6.8969712841008635</v>
      </c>
      <c r="AH334" s="304">
        <f t="shared" ca="1" si="173"/>
        <v>2.8525448584957909</v>
      </c>
    </row>
    <row r="335" spans="1:34" x14ac:dyDescent="0.2">
      <c r="A335" s="347">
        <f t="shared" ca="1" si="151"/>
        <v>0.01</v>
      </c>
      <c r="B335" s="304">
        <f t="shared" ca="1" si="152"/>
        <v>3.3099999999999734</v>
      </c>
      <c r="D335" s="306">
        <f t="shared" ca="1" si="153"/>
        <v>0.21336665605385957</v>
      </c>
      <c r="E335" s="307">
        <f t="shared" ca="1" si="154"/>
        <v>-7.8982588576606751</v>
      </c>
      <c r="F335" s="304">
        <f t="shared" ca="1" si="155"/>
        <v>7.9011403172283252</v>
      </c>
      <c r="G335" s="306">
        <f t="shared" ca="1" si="156"/>
        <v>26.161443748171532</v>
      </c>
      <c r="H335" s="307">
        <f t="shared" ca="1" si="157"/>
        <v>234.30548152189692</v>
      </c>
      <c r="I335" s="304">
        <f t="shared" ca="1" si="158"/>
        <v>235.76148924325346</v>
      </c>
      <c r="J335" s="306">
        <f t="shared" ca="1" si="159"/>
        <v>50.07626570909418</v>
      </c>
      <c r="K335" s="307">
        <f t="shared" ca="1" si="160"/>
        <v>476.21910596917178</v>
      </c>
      <c r="L335" s="304">
        <f t="shared" ca="1" si="145"/>
        <v>478.84472355602401</v>
      </c>
      <c r="M335" s="306">
        <f t="shared" ca="1" si="161"/>
        <v>1.4596016067647197</v>
      </c>
      <c r="N335" s="304">
        <f t="shared" ca="1" si="162"/>
        <v>83.629011838132072</v>
      </c>
      <c r="P335" s="310">
        <f t="shared" ca="1" si="163"/>
        <v>9</v>
      </c>
      <c r="Q335" s="304">
        <f t="shared" ca="1" si="164"/>
        <v>163.55555555557117</v>
      </c>
      <c r="R335" s="306">
        <f t="shared" ca="1" si="165"/>
        <v>8.208091299858869E-2</v>
      </c>
      <c r="S335" s="307">
        <f t="shared" ca="1" si="166"/>
        <v>6.16315638713768</v>
      </c>
      <c r="T335" s="304">
        <f t="shared" ca="1" si="146"/>
        <v>60.460564157820642</v>
      </c>
      <c r="U335" s="311">
        <f t="shared" ca="1" si="147"/>
        <v>0</v>
      </c>
      <c r="V335" s="306">
        <f t="shared" ca="1" si="148"/>
        <v>1.1680199098971185</v>
      </c>
      <c r="W335" s="304">
        <f t="shared" ca="1" si="149"/>
        <v>151.56383727760445</v>
      </c>
      <c r="Y335" s="314" t="str">
        <f t="shared" ca="1" si="167"/>
        <v/>
      </c>
      <c r="Z335" s="315" t="str">
        <f t="shared" ca="1" si="168"/>
        <v/>
      </c>
      <c r="AA335" s="316" t="str">
        <f t="shared" ca="1" si="169"/>
        <v/>
      </c>
      <c r="AC335" s="310" t="e">
        <f t="shared" ca="1" si="170"/>
        <v>#N/A</v>
      </c>
      <c r="AD335" s="323" t="e">
        <f t="shared" ca="1" si="171"/>
        <v>#N/A</v>
      </c>
      <c r="AE335" s="324">
        <f t="shared" ca="1" si="150"/>
        <v>476.21910596917178</v>
      </c>
      <c r="AG335" s="306">
        <f t="shared" ca="1" si="172"/>
        <v>-7.8258549056466293</v>
      </c>
      <c r="AH335" s="304">
        <f t="shared" ca="1" si="173"/>
        <v>1.9236110639181909</v>
      </c>
    </row>
    <row r="336" spans="1:34" x14ac:dyDescent="0.2">
      <c r="A336" s="347">
        <f t="shared" ca="1" si="151"/>
        <v>0.01</v>
      </c>
      <c r="B336" s="304">
        <f t="shared" ca="1" si="152"/>
        <v>3.3199999999999732</v>
      </c>
      <c r="D336" s="306">
        <f t="shared" ca="1" si="153"/>
        <v>0.11056059056703368</v>
      </c>
      <c r="E336" s="307">
        <f t="shared" ca="1" si="154"/>
        <v>-8.8198041736720025</v>
      </c>
      <c r="F336" s="304">
        <f t="shared" ca="1" si="155"/>
        <v>8.8204971121875335</v>
      </c>
      <c r="G336" s="306">
        <f t="shared" ca="1" si="156"/>
        <v>26.162549354077203</v>
      </c>
      <c r="H336" s="307">
        <f t="shared" ca="1" si="157"/>
        <v>234.21728348016021</v>
      </c>
      <c r="I336" s="304">
        <f t="shared" ca="1" si="158"/>
        <v>235.67395882772084</v>
      </c>
      <c r="J336" s="306">
        <f t="shared" ca="1" si="159"/>
        <v>50.337885674605424</v>
      </c>
      <c r="K336" s="307">
        <f t="shared" ca="1" si="160"/>
        <v>478.56171979418207</v>
      </c>
      <c r="L336" s="304">
        <f t="shared" ca="1" si="145"/>
        <v>481.20185201904081</v>
      </c>
      <c r="M336" s="306">
        <f t="shared" ca="1" si="161"/>
        <v>1.4595554169466591</v>
      </c>
      <c r="N336" s="304">
        <f t="shared" ca="1" si="162"/>
        <v>83.626365356500713</v>
      </c>
      <c r="P336" s="310">
        <f t="shared" ca="1" si="163"/>
        <v>9</v>
      </c>
      <c r="Q336" s="304">
        <f t="shared" ca="1" si="164"/>
        <v>157.70370370371944</v>
      </c>
      <c r="R336" s="306">
        <f t="shared" ca="1" si="165"/>
        <v>7.9144141201990981E-2</v>
      </c>
      <c r="S336" s="307">
        <f t="shared" ca="1" si="166"/>
        <v>6.1623649457256597</v>
      </c>
      <c r="T336" s="304">
        <f t="shared" ca="1" si="146"/>
        <v>60.452800117568728</v>
      </c>
      <c r="U336" s="311">
        <f t="shared" ca="1" si="147"/>
        <v>0</v>
      </c>
      <c r="V336" s="306">
        <f t="shared" ca="1" si="148"/>
        <v>1.1677461640354141</v>
      </c>
      <c r="W336" s="304">
        <f t="shared" ca="1" si="149"/>
        <v>151.41582166416055</v>
      </c>
      <c r="Y336" s="314" t="str">
        <f t="shared" ca="1" si="167"/>
        <v/>
      </c>
      <c r="Z336" s="315" t="str">
        <f t="shared" ca="1" si="168"/>
        <v/>
      </c>
      <c r="AA336" s="316" t="str">
        <f t="shared" ca="1" si="169"/>
        <v/>
      </c>
      <c r="AC336" s="310" t="e">
        <f t="shared" ca="1" si="170"/>
        <v>#N/A</v>
      </c>
      <c r="AD336" s="323" t="e">
        <f t="shared" ca="1" si="171"/>
        <v>#N/A</v>
      </c>
      <c r="AE336" s="324">
        <f t="shared" ca="1" si="150"/>
        <v>478.56171979418207</v>
      </c>
      <c r="AG336" s="306">
        <f t="shared" ca="1" si="172"/>
        <v>-8.7530666937760859</v>
      </c>
      <c r="AH336" s="304">
        <f t="shared" ca="1" si="173"/>
        <v>0.99634904459427165</v>
      </c>
    </row>
    <row r="337" spans="1:34" x14ac:dyDescent="0.2">
      <c r="A337" s="347">
        <f t="shared" ca="1" si="151"/>
        <v>0.01</v>
      </c>
      <c r="B337" s="304">
        <f t="shared" ca="1" si="152"/>
        <v>3.329999999999973</v>
      </c>
      <c r="D337" s="306">
        <f t="shared" ca="1" si="153"/>
        <v>7.8558162686636571E-3</v>
      </c>
      <c r="E337" s="307">
        <f t="shared" ca="1" si="154"/>
        <v>-9.7396716875307536</v>
      </c>
      <c r="F337" s="304">
        <f t="shared" ca="1" si="155"/>
        <v>9.7396748556991053</v>
      </c>
      <c r="G337" s="306">
        <f t="shared" ca="1" si="156"/>
        <v>26.162627912239891</v>
      </c>
      <c r="H337" s="307">
        <f t="shared" ca="1" si="157"/>
        <v>234.11988676328491</v>
      </c>
      <c r="I337" s="304">
        <f t="shared" ca="1" si="158"/>
        <v>235.57717308204474</v>
      </c>
      <c r="J337" s="306">
        <f t="shared" ca="1" si="159"/>
        <v>50.59951156093701</v>
      </c>
      <c r="K337" s="307">
        <f t="shared" ca="1" si="160"/>
        <v>480.90340564539929</v>
      </c>
      <c r="L337" s="304">
        <f t="shared" ca="1" si="145"/>
        <v>483.55805869776265</v>
      </c>
      <c r="M337" s="306">
        <f t="shared" ca="1" si="161"/>
        <v>1.459509189036021</v>
      </c>
      <c r="N337" s="304">
        <f t="shared" ca="1" si="162"/>
        <v>83.623716692325445</v>
      </c>
      <c r="P337" s="310">
        <f t="shared" ca="1" si="163"/>
        <v>9</v>
      </c>
      <c r="Q337" s="304">
        <f t="shared" ca="1" si="164"/>
        <v>151.85185185186771</v>
      </c>
      <c r="R337" s="306">
        <f t="shared" ca="1" si="165"/>
        <v>7.6207369405393258E-2</v>
      </c>
      <c r="S337" s="307">
        <f t="shared" ca="1" si="166"/>
        <v>6.1616028720316054</v>
      </c>
      <c r="T337" s="304">
        <f t="shared" ca="1" si="146"/>
        <v>60.445324174630052</v>
      </c>
      <c r="U337" s="311">
        <f t="shared" ca="1" si="147"/>
        <v>0</v>
      </c>
      <c r="V337" s="306">
        <f t="shared" ca="1" si="148"/>
        <v>1.1674725891970925</v>
      </c>
      <c r="W337" s="304">
        <f t="shared" ca="1" si="149"/>
        <v>151.25603742076541</v>
      </c>
      <c r="Y337" s="314" t="str">
        <f t="shared" ca="1" si="167"/>
        <v/>
      </c>
      <c r="Z337" s="315" t="str">
        <f t="shared" ca="1" si="168"/>
        <v/>
      </c>
      <c r="AA337" s="316" t="str">
        <f t="shared" ca="1" si="169"/>
        <v/>
      </c>
      <c r="AC337" s="310" t="e">
        <f t="shared" ca="1" si="170"/>
        <v>#N/A</v>
      </c>
      <c r="AD337" s="323" t="e">
        <f t="shared" ca="1" si="171"/>
        <v>#N/A</v>
      </c>
      <c r="AE337" s="324">
        <f t="shared" ca="1" si="150"/>
        <v>480.90340564539929</v>
      </c>
      <c r="AG337" s="306">
        <f t="shared" ca="1" si="172"/>
        <v>-9.6785997392637526</v>
      </c>
      <c r="AH337" s="304">
        <f t="shared" ca="1" si="173"/>
        <v>7.0765707684012524E-2</v>
      </c>
    </row>
    <row r="338" spans="1:34" x14ac:dyDescent="0.2">
      <c r="A338" s="347">
        <f t="shared" ca="1" si="151"/>
        <v>0.01</v>
      </c>
      <c r="B338" s="304">
        <f t="shared" ca="1" si="152"/>
        <v>3.3399999999999728</v>
      </c>
      <c r="D338" s="306">
        <f t="shared" ca="1" si="153"/>
        <v>-9.4746799946383548E-2</v>
      </c>
      <c r="E338" s="307">
        <f t="shared" ca="1" si="154"/>
        <v>-10.657854816000853</v>
      </c>
      <c r="F338" s="304">
        <f t="shared" ca="1" si="155"/>
        <v>10.658275950408333</v>
      </c>
      <c r="G338" s="306">
        <f t="shared" ca="1" si="156"/>
        <v>26.161680444240428</v>
      </c>
      <c r="H338" s="307">
        <f t="shared" ca="1" si="157"/>
        <v>234.01330821512491</v>
      </c>
      <c r="I338" s="304">
        <f t="shared" ca="1" si="158"/>
        <v>235.47114886001128</v>
      </c>
      <c r="J338" s="306">
        <f t="shared" ca="1" si="159"/>
        <v>50.861133102719414</v>
      </c>
      <c r="K338" s="307">
        <f t="shared" ca="1" si="160"/>
        <v>483.24407162029132</v>
      </c>
      <c r="L338" s="304">
        <f t="shared" ca="1" si="145"/>
        <v>485.91325112271818</v>
      </c>
      <c r="M338" s="306">
        <f t="shared" ca="1" si="161"/>
        <v>1.4594629211706172</v>
      </c>
      <c r="N338" s="304">
        <f t="shared" ca="1" si="162"/>
        <v>83.62106573891073</v>
      </c>
      <c r="P338" s="310">
        <f t="shared" ca="1" si="163"/>
        <v>9</v>
      </c>
      <c r="Q338" s="304">
        <f t="shared" ca="1" si="164"/>
        <v>146.00000000001597</v>
      </c>
      <c r="R338" s="306">
        <f t="shared" ca="1" si="165"/>
        <v>7.3270597608795549E-2</v>
      </c>
      <c r="S338" s="307">
        <f t="shared" ca="1" si="166"/>
        <v>6.1608701660555178</v>
      </c>
      <c r="T338" s="304">
        <f t="shared" ca="1" si="146"/>
        <v>60.438136329004635</v>
      </c>
      <c r="U338" s="311">
        <f t="shared" ca="1" si="147"/>
        <v>0</v>
      </c>
      <c r="V338" s="306">
        <f t="shared" ca="1" si="148"/>
        <v>1.167199196019439</v>
      </c>
      <c r="W338" s="304">
        <f t="shared" ca="1" si="149"/>
        <v>151.08453046861354</v>
      </c>
      <c r="Y338" s="314" t="str">
        <f t="shared" ca="1" si="167"/>
        <v/>
      </c>
      <c r="Z338" s="315" t="str">
        <f t="shared" ca="1" si="168"/>
        <v/>
      </c>
      <c r="AA338" s="316" t="str">
        <f t="shared" ca="1" si="169"/>
        <v/>
      </c>
      <c r="AC338" s="310" t="e">
        <f t="shared" ca="1" si="170"/>
        <v>#N/A</v>
      </c>
      <c r="AD338" s="323" t="e">
        <f t="shared" ca="1" si="171"/>
        <v>#N/A</v>
      </c>
      <c r="AE338" s="324">
        <f t="shared" ca="1" si="150"/>
        <v>483.24407162029132</v>
      </c>
      <c r="AG338" s="306">
        <f t="shared" ca="1" si="172"/>
        <v>-10.602447407180017</v>
      </c>
      <c r="AH338" s="304">
        <f t="shared" ca="1" si="173"/>
        <v>-0.85313231395600098</v>
      </c>
    </row>
    <row r="339" spans="1:34" x14ac:dyDescent="0.2">
      <c r="A339" s="347">
        <f t="shared" ca="1" si="151"/>
        <v>0.01</v>
      </c>
      <c r="B339" s="304">
        <f t="shared" ca="1" si="152"/>
        <v>3.3499999999999726</v>
      </c>
      <c r="D339" s="306">
        <f t="shared" ca="1" si="153"/>
        <v>-0.19724642668065459</v>
      </c>
      <c r="E339" s="307">
        <f t="shared" ca="1" si="154"/>
        <v>-11.574347245947422</v>
      </c>
      <c r="F339" s="304">
        <f t="shared" ca="1" si="155"/>
        <v>11.576027830072324</v>
      </c>
      <c r="G339" s="306">
        <f t="shared" ca="1" si="156"/>
        <v>26.159707979973621</v>
      </c>
      <c r="H339" s="307">
        <f t="shared" ca="1" si="157"/>
        <v>233.89756474266542</v>
      </c>
      <c r="I339" s="304">
        <f t="shared" ca="1" si="158"/>
        <v>235.35590307903232</v>
      </c>
      <c r="J339" s="306">
        <f t="shared" ca="1" si="159"/>
        <v>51.122740044840484</v>
      </c>
      <c r="K339" s="307">
        <f t="shared" ca="1" si="160"/>
        <v>485.58362598508029</v>
      </c>
      <c r="L339" s="304">
        <f t="shared" ca="1" si="145"/>
        <v>488.26733699328145</v>
      </c>
      <c r="M339" s="306">
        <f t="shared" ca="1" si="161"/>
        <v>1.4594166114835954</v>
      </c>
      <c r="N339" s="304">
        <f t="shared" ca="1" si="162"/>
        <v>83.618412389293809</v>
      </c>
      <c r="P339" s="310">
        <f t="shared" ca="1" si="163"/>
        <v>9</v>
      </c>
      <c r="Q339" s="304">
        <f t="shared" ca="1" si="164"/>
        <v>140.14814814816427</v>
      </c>
      <c r="R339" s="306">
        <f t="shared" ca="1" si="165"/>
        <v>7.0333825812197839E-2</v>
      </c>
      <c r="S339" s="307">
        <f t="shared" ca="1" si="166"/>
        <v>6.1601668277973962</v>
      </c>
      <c r="T339" s="304">
        <f t="shared" ca="1" si="146"/>
        <v>60.431236580692463</v>
      </c>
      <c r="U339" s="311">
        <f t="shared" ca="1" si="147"/>
        <v>0</v>
      </c>
      <c r="V339" s="306">
        <f t="shared" ca="1" si="148"/>
        <v>1.1669259951103181</v>
      </c>
      <c r="W339" s="304">
        <f t="shared" ca="1" si="149"/>
        <v>150.90134811474024</v>
      </c>
      <c r="Y339" s="314" t="str">
        <f t="shared" ca="1" si="167"/>
        <v/>
      </c>
      <c r="Z339" s="315" t="str">
        <f t="shared" ca="1" si="168"/>
        <v/>
      </c>
      <c r="AA339" s="316" t="str">
        <f t="shared" ca="1" si="169"/>
        <v/>
      </c>
      <c r="AC339" s="310" t="e">
        <f t="shared" ca="1" si="170"/>
        <v>#N/A</v>
      </c>
      <c r="AD339" s="323" t="e">
        <f t="shared" ca="1" si="171"/>
        <v>#N/A</v>
      </c>
      <c r="AE339" s="324">
        <f t="shared" ca="1" si="150"/>
        <v>485.58362598508029</v>
      </c>
      <c r="AG339" s="306">
        <f t="shared" ca="1" si="172"/>
        <v>-11.524603334957515</v>
      </c>
      <c r="AH339" s="304">
        <f t="shared" ca="1" si="173"/>
        <v>-1.7753386598394505</v>
      </c>
    </row>
    <row r="340" spans="1:34" x14ac:dyDescent="0.2">
      <c r="A340" s="347">
        <f t="shared" ca="1" si="151"/>
        <v>0.01</v>
      </c>
      <c r="B340" s="304">
        <f t="shared" ca="1" si="152"/>
        <v>3.3599999999999723</v>
      </c>
      <c r="D340" s="306">
        <f t="shared" ca="1" si="153"/>
        <v>-0.29964226786676468</v>
      </c>
      <c r="E340" s="307">
        <f t="shared" ca="1" si="154"/>
        <v>-12.489142932392792</v>
      </c>
      <c r="F340" s="304">
        <f t="shared" ca="1" si="155"/>
        <v>12.492736956905366</v>
      </c>
      <c r="G340" s="306">
        <f t="shared" ca="1" si="156"/>
        <v>26.156711557294955</v>
      </c>
      <c r="H340" s="307">
        <f t="shared" ca="1" si="157"/>
        <v>233.7726733133415</v>
      </c>
      <c r="I340" s="304">
        <f t="shared" ca="1" si="158"/>
        <v>235.23145271744127</v>
      </c>
      <c r="J340" s="306">
        <f t="shared" ca="1" si="159"/>
        <v>51.384322142526827</v>
      </c>
      <c r="K340" s="307">
        <f t="shared" ca="1" si="160"/>
        <v>487.92197717536033</v>
      </c>
      <c r="L340" s="304">
        <f t="shared" ca="1" si="145"/>
        <v>490.62022417829439</v>
      </c>
      <c r="M340" s="306">
        <f t="shared" ca="1" si="161"/>
        <v>1.4593702581030139</v>
      </c>
      <c r="N340" s="304">
        <f t="shared" ca="1" si="162"/>
        <v>83.615756536220331</v>
      </c>
      <c r="P340" s="310">
        <f t="shared" ca="1" si="163"/>
        <v>9</v>
      </c>
      <c r="Q340" s="304">
        <f t="shared" ca="1" si="164"/>
        <v>134.29629629631253</v>
      </c>
      <c r="R340" s="306">
        <f t="shared" ca="1" si="165"/>
        <v>6.739705401560013E-2</v>
      </c>
      <c r="S340" s="307">
        <f t="shared" ca="1" si="166"/>
        <v>6.1594928572572405</v>
      </c>
      <c r="T340" s="304">
        <f t="shared" ca="1" si="146"/>
        <v>60.424624929693529</v>
      </c>
      <c r="U340" s="311">
        <f t="shared" ca="1" si="147"/>
        <v>0</v>
      </c>
      <c r="V340" s="306">
        <f t="shared" ca="1" si="148"/>
        <v>1.166652997048145</v>
      </c>
      <c r="W340" s="304">
        <f t="shared" ca="1" si="149"/>
        <v>150.70653903718386</v>
      </c>
      <c r="Y340" s="314" t="str">
        <f t="shared" ca="1" si="167"/>
        <v/>
      </c>
      <c r="Z340" s="315" t="str">
        <f t="shared" ca="1" si="168"/>
        <v/>
      </c>
      <c r="AA340" s="316" t="str">
        <f t="shared" ca="1" si="169"/>
        <v/>
      </c>
      <c r="AC340" s="310" t="e">
        <f t="shared" ca="1" si="170"/>
        <v>#N/A</v>
      </c>
      <c r="AD340" s="323" t="e">
        <f t="shared" ca="1" si="171"/>
        <v>#N/A</v>
      </c>
      <c r="AE340" s="324">
        <f t="shared" ca="1" si="150"/>
        <v>487.92197717536033</v>
      </c>
      <c r="AG340" s="306">
        <f t="shared" ca="1" si="172"/>
        <v>-12.445061430441516</v>
      </c>
      <c r="AH340" s="304">
        <f t="shared" ca="1" si="173"/>
        <v>-2.6958472399011386</v>
      </c>
    </row>
    <row r="341" spans="1:34" x14ac:dyDescent="0.2">
      <c r="A341" s="347">
        <f t="shared" ca="1" si="151"/>
        <v>0.01</v>
      </c>
      <c r="B341" s="304">
        <f t="shared" ca="1" si="152"/>
        <v>3.3699999999999721</v>
      </c>
      <c r="D341" s="306">
        <f t="shared" ca="1" si="153"/>
        <v>-0.40193356259996704</v>
      </c>
      <c r="E341" s="307">
        <f t="shared" ca="1" si="154"/>
        <v>-13.402236096557193</v>
      </c>
      <c r="F341" s="304">
        <f t="shared" ca="1" si="155"/>
        <v>13.408261743291144</v>
      </c>
      <c r="G341" s="306">
        <f t="shared" ca="1" si="156"/>
        <v>26.152692221668953</v>
      </c>
      <c r="H341" s="307">
        <f t="shared" ca="1" si="157"/>
        <v>233.63865095237594</v>
      </c>
      <c r="I341" s="304">
        <f t="shared" ca="1" si="158"/>
        <v>235.09781481180872</v>
      </c>
      <c r="J341" s="306">
        <f t="shared" ca="1" si="159"/>
        <v>51.645869161421643</v>
      </c>
      <c r="K341" s="307">
        <f t="shared" ca="1" si="160"/>
        <v>490.25903379668893</v>
      </c>
      <c r="L341" s="304">
        <f t="shared" ca="1" si="145"/>
        <v>492.97182071666293</v>
      </c>
      <c r="M341" s="306">
        <f t="shared" ca="1" si="161"/>
        <v>1.4593238591514117</v>
      </c>
      <c r="N341" s="304">
        <f t="shared" ca="1" si="162"/>
        <v>83.613098072119683</v>
      </c>
      <c r="P341" s="310">
        <f t="shared" ca="1" si="163"/>
        <v>9</v>
      </c>
      <c r="Q341" s="304">
        <f t="shared" ca="1" si="164"/>
        <v>128.44444444446083</v>
      </c>
      <c r="R341" s="306">
        <f t="shared" ca="1" si="165"/>
        <v>6.4460282219002421E-2</v>
      </c>
      <c r="S341" s="307">
        <f t="shared" ca="1" si="166"/>
        <v>6.1588482544350507</v>
      </c>
      <c r="T341" s="304">
        <f t="shared" ca="1" si="146"/>
        <v>60.418301376007854</v>
      </c>
      <c r="U341" s="311">
        <f t="shared" ca="1" si="147"/>
        <v>0</v>
      </c>
      <c r="V341" s="306">
        <f t="shared" ca="1" si="148"/>
        <v>1.1663802123818574</v>
      </c>
      <c r="W341" s="304">
        <f t="shared" ca="1" si="149"/>
        <v>150.50015327018505</v>
      </c>
      <c r="Y341" s="314" t="str">
        <f t="shared" ca="1" si="167"/>
        <v/>
      </c>
      <c r="Z341" s="315" t="str">
        <f t="shared" ca="1" si="168"/>
        <v/>
      </c>
      <c r="AA341" s="316" t="str">
        <f t="shared" ca="1" si="169"/>
        <v/>
      </c>
      <c r="AC341" s="310" t="e">
        <f t="shared" ca="1" si="170"/>
        <v>#N/A</v>
      </c>
      <c r="AD341" s="323" t="e">
        <f t="shared" ca="1" si="171"/>
        <v>#N/A</v>
      </c>
      <c r="AE341" s="324">
        <f t="shared" ca="1" si="150"/>
        <v>490.25903379668893</v>
      </c>
      <c r="AG341" s="306">
        <f t="shared" ca="1" si="172"/>
        <v>-13.36381586992503</v>
      </c>
      <c r="AH341" s="304">
        <f t="shared" ca="1" si="173"/>
        <v>-3.6146522325325785</v>
      </c>
    </row>
    <row r="342" spans="1:34" x14ac:dyDescent="0.2">
      <c r="A342" s="347">
        <f t="shared" ca="1" si="151"/>
        <v>0.01</v>
      </c>
      <c r="B342" s="304">
        <f t="shared" ca="1" si="152"/>
        <v>3.3799999999999719</v>
      </c>
      <c r="D342" s="306">
        <f t="shared" ca="1" si="153"/>
        <v>-0.50411958497074916</v>
      </c>
      <c r="E342" s="307">
        <f t="shared" ca="1" si="154"/>
        <v>-14.313621223884883</v>
      </c>
      <c r="F342" s="304">
        <f t="shared" ca="1" si="155"/>
        <v>14.322495910168691</v>
      </c>
      <c r="G342" s="306">
        <f t="shared" ca="1" si="156"/>
        <v>26.147651025819247</v>
      </c>
      <c r="H342" s="307">
        <f t="shared" ca="1" si="157"/>
        <v>233.49551474013708</v>
      </c>
      <c r="I342" s="304">
        <f t="shared" ca="1" si="158"/>
        <v>234.95500645427754</v>
      </c>
      <c r="J342" s="306">
        <f t="shared" ca="1" si="159"/>
        <v>51.907370877659083</v>
      </c>
      <c r="K342" s="307">
        <f t="shared" ca="1" si="160"/>
        <v>492.59470462515151</v>
      </c>
      <c r="L342" s="304">
        <f t="shared" ca="1" si="145"/>
        <v>495.32203481792641</v>
      </c>
      <c r="M342" s="306">
        <f t="shared" ca="1" si="161"/>
        <v>1.4592774127453791</v>
      </c>
      <c r="N342" s="304">
        <f t="shared" ca="1" si="162"/>
        <v>83.610436889080475</v>
      </c>
      <c r="P342" s="310">
        <f t="shared" ca="1" si="163"/>
        <v>9</v>
      </c>
      <c r="Q342" s="304">
        <f t="shared" ca="1" si="164"/>
        <v>122.59259259260908</v>
      </c>
      <c r="R342" s="306">
        <f t="shared" ca="1" si="165"/>
        <v>6.1523510422404705E-2</v>
      </c>
      <c r="S342" s="307">
        <f t="shared" ca="1" si="166"/>
        <v>6.1582330193308268</v>
      </c>
      <c r="T342" s="304">
        <f t="shared" ca="1" si="146"/>
        <v>60.412265919635416</v>
      </c>
      <c r="U342" s="311">
        <f t="shared" ca="1" si="147"/>
        <v>0</v>
      </c>
      <c r="V342" s="306">
        <f t="shared" ca="1" si="148"/>
        <v>1.1661076516308968</v>
      </c>
      <c r="W342" s="304">
        <f t="shared" ca="1" si="149"/>
        <v>150.28224218942722</v>
      </c>
      <c r="Y342" s="314" t="str">
        <f t="shared" ca="1" si="167"/>
        <v/>
      </c>
      <c r="Z342" s="315" t="str">
        <f t="shared" ca="1" si="168"/>
        <v/>
      </c>
      <c r="AA342" s="316" t="str">
        <f t="shared" ca="1" si="169"/>
        <v/>
      </c>
      <c r="AC342" s="310" t="e">
        <f t="shared" ca="1" si="170"/>
        <v>#N/A</v>
      </c>
      <c r="AD342" s="323" t="e">
        <f t="shared" ca="1" si="171"/>
        <v>#N/A</v>
      </c>
      <c r="AE342" s="324">
        <f t="shared" ca="1" si="150"/>
        <v>492.59470462515151</v>
      </c>
      <c r="AG342" s="306">
        <f t="shared" ca="1" si="172"/>
        <v>-14.280861096169481</v>
      </c>
      <c r="AH342" s="304">
        <f t="shared" ca="1" si="173"/>
        <v>-4.5317480826031646</v>
      </c>
    </row>
    <row r="343" spans="1:34" x14ac:dyDescent="0.2">
      <c r="A343" s="347">
        <f t="shared" ca="1" si="151"/>
        <v>0.01</v>
      </c>
      <c r="B343" s="304">
        <f t="shared" ca="1" si="152"/>
        <v>3.3899999999999717</v>
      </c>
      <c r="D343" s="306">
        <f t="shared" ca="1" si="153"/>
        <v>-0.6061996438975259</v>
      </c>
      <c r="E343" s="307">
        <f t="shared" ca="1" si="154"/>
        <v>-15.223293062056456</v>
      </c>
      <c r="F343" s="304">
        <f t="shared" ca="1" si="155"/>
        <v>15.235357877697449</v>
      </c>
      <c r="G343" s="306">
        <f t="shared" ca="1" si="156"/>
        <v>26.14158902938027</v>
      </c>
      <c r="H343" s="307">
        <f t="shared" ca="1" si="157"/>
        <v>233.34328180951653</v>
      </c>
      <c r="I343" s="304">
        <f t="shared" ca="1" si="158"/>
        <v>234.80304478991849</v>
      </c>
      <c r="J343" s="306">
        <f t="shared" ca="1" si="159"/>
        <v>52.168817077935081</v>
      </c>
      <c r="K343" s="307">
        <f t="shared" ca="1" si="160"/>
        <v>494.92889860789978</v>
      </c>
      <c r="L343" s="304">
        <f t="shared" ca="1" si="145"/>
        <v>497.67077486280004</v>
      </c>
      <c r="M343" s="306">
        <f t="shared" ca="1" si="161"/>
        <v>1.4592309169951225</v>
      </c>
      <c r="N343" s="304">
        <f t="shared" ca="1" si="162"/>
        <v>83.607772878825472</v>
      </c>
      <c r="P343" s="310">
        <f t="shared" ca="1" si="163"/>
        <v>9</v>
      </c>
      <c r="Q343" s="304">
        <f t="shared" ca="1" si="164"/>
        <v>116.74074074075736</v>
      </c>
      <c r="R343" s="306">
        <f t="shared" ca="1" si="165"/>
        <v>5.8586738625806996E-2</v>
      </c>
      <c r="S343" s="307">
        <f t="shared" ca="1" si="166"/>
        <v>6.1576471519445688</v>
      </c>
      <c r="T343" s="304">
        <f t="shared" ca="1" si="146"/>
        <v>60.406518560576224</v>
      </c>
      <c r="U343" s="311">
        <f t="shared" ca="1" si="147"/>
        <v>0</v>
      </c>
      <c r="V343" s="306">
        <f t="shared" ca="1" si="148"/>
        <v>1.1658353252851872</v>
      </c>
      <c r="W343" s="304">
        <f t="shared" ca="1" si="149"/>
        <v>150.05285849732076</v>
      </c>
      <c r="Y343" s="314" t="str">
        <f t="shared" ca="1" si="167"/>
        <v/>
      </c>
      <c r="Z343" s="315" t="str">
        <f t="shared" ca="1" si="168"/>
        <v/>
      </c>
      <c r="AA343" s="316" t="str">
        <f t="shared" ca="1" si="169"/>
        <v/>
      </c>
      <c r="AC343" s="310" t="e">
        <f t="shared" ca="1" si="170"/>
        <v>#N/A</v>
      </c>
      <c r="AD343" s="323" t="e">
        <f t="shared" ca="1" si="171"/>
        <v>#N/A</v>
      </c>
      <c r="AE343" s="324">
        <f t="shared" ca="1" si="150"/>
        <v>494.92889860789978</v>
      </c>
      <c r="AG343" s="306">
        <f t="shared" ca="1" si="172"/>
        <v>-15.196191816411648</v>
      </c>
      <c r="AH343" s="304">
        <f t="shared" ca="1" si="173"/>
        <v>-5.4471294994675921</v>
      </c>
    </row>
    <row r="344" spans="1:34" x14ac:dyDescent="0.2">
      <c r="A344" s="347">
        <f t="shared" ca="1" si="151"/>
        <v>0.01</v>
      </c>
      <c r="B344" s="304">
        <f t="shared" ca="1" si="152"/>
        <v>3.3999999999999715</v>
      </c>
      <c r="D344" s="306">
        <f t="shared" ca="1" si="153"/>
        <v>-0.70817308295955428</v>
      </c>
      <c r="E344" s="307">
        <f t="shared" ca="1" si="154"/>
        <v>-16.131246618988065</v>
      </c>
      <c r="F344" s="304">
        <f t="shared" ca="1" si="155"/>
        <v>16.146783784953659</v>
      </c>
      <c r="G344" s="306">
        <f t="shared" ca="1" si="156"/>
        <v>26.134507298550673</v>
      </c>
      <c r="H344" s="307">
        <f t="shared" ca="1" si="157"/>
        <v>233.18196934332664</v>
      </c>
      <c r="I344" s="304">
        <f t="shared" ca="1" si="158"/>
        <v>234.64194701410514</v>
      </c>
      <c r="J344" s="306">
        <f t="shared" ca="1" si="159"/>
        <v>52.430197559574736</v>
      </c>
      <c r="K344" s="307">
        <f t="shared" ca="1" si="160"/>
        <v>497.26152486366402</v>
      </c>
      <c r="L344" s="304">
        <f t="shared" ca="1" si="145"/>
        <v>500.01794940369126</v>
      </c>
      <c r="M344" s="306">
        <f t="shared" ca="1" si="161"/>
        <v>1.4591843700040286</v>
      </c>
      <c r="N344" s="304">
        <f t="shared" ca="1" si="162"/>
        <v>83.605105932686754</v>
      </c>
      <c r="P344" s="310">
        <f t="shared" ca="1" si="163"/>
        <v>9</v>
      </c>
      <c r="Q344" s="304">
        <f t="shared" ca="1" si="164"/>
        <v>110.88888888890563</v>
      </c>
      <c r="R344" s="306">
        <f t="shared" ca="1" si="165"/>
        <v>5.564996682920928E-2</v>
      </c>
      <c r="S344" s="307">
        <f t="shared" ca="1" si="166"/>
        <v>6.1570906522762767</v>
      </c>
      <c r="T344" s="304">
        <f t="shared" ca="1" si="146"/>
        <v>60.401059298830276</v>
      </c>
      <c r="U344" s="311">
        <f t="shared" ca="1" si="147"/>
        <v>0</v>
      </c>
      <c r="V344" s="306">
        <f t="shared" ca="1" si="148"/>
        <v>1.165563243805122</v>
      </c>
      <c r="W344" s="304">
        <f t="shared" ca="1" si="149"/>
        <v>149.81205620833478</v>
      </c>
      <c r="Y344" s="314" t="str">
        <f t="shared" ca="1" si="167"/>
        <v/>
      </c>
      <c r="Z344" s="315" t="str">
        <f t="shared" ca="1" si="168"/>
        <v/>
      </c>
      <c r="AA344" s="316" t="str">
        <f t="shared" ca="1" si="169"/>
        <v/>
      </c>
      <c r="AC344" s="310" t="e">
        <f t="shared" ca="1" si="170"/>
        <v>#N/A</v>
      </c>
      <c r="AD344" s="323" t="e">
        <f t="shared" ca="1" si="171"/>
        <v>#N/A</v>
      </c>
      <c r="AE344" s="324">
        <f t="shared" ca="1" si="150"/>
        <v>497.26152486366402</v>
      </c>
      <c r="AG344" s="306">
        <f t="shared" ca="1" si="172"/>
        <v>-16.109803000357651</v>
      </c>
      <c r="AH344" s="304">
        <f t="shared" ca="1" si="173"/>
        <v>-6.3607914549603404</v>
      </c>
    </row>
    <row r="345" spans="1:34" x14ac:dyDescent="0.2">
      <c r="A345" s="347">
        <f t="shared" ca="1" si="151"/>
        <v>0.01</v>
      </c>
      <c r="B345" s="304">
        <f t="shared" ca="1" si="152"/>
        <v>3.4099999999999713</v>
      </c>
      <c r="D345" s="306">
        <f t="shared" ca="1" si="153"/>
        <v>-0.81003928023012906</v>
      </c>
      <c r="E345" s="307">
        <f t="shared" ca="1" si="154"/>
        <v>-17.037477160818234</v>
      </c>
      <c r="F345" s="304">
        <f t="shared" ca="1" si="155"/>
        <v>17.056722769656506</v>
      </c>
      <c r="G345" s="306">
        <f t="shared" ca="1" si="156"/>
        <v>26.126406905748372</v>
      </c>
      <c r="H345" s="307">
        <f t="shared" ca="1" si="157"/>
        <v>233.01159457171846</v>
      </c>
      <c r="I345" s="304">
        <f t="shared" ca="1" si="158"/>
        <v>234.47173036990969</v>
      </c>
      <c r="J345" s="306">
        <f t="shared" ca="1" si="159"/>
        <v>52.691502130596234</v>
      </c>
      <c r="K345" s="307">
        <f t="shared" ca="1" si="160"/>
        <v>499.59249268323924</v>
      </c>
      <c r="L345" s="304">
        <f t="shared" ca="1" si="145"/>
        <v>502.36346716519017</v>
      </c>
      <c r="M345" s="306">
        <f t="shared" ca="1" si="161"/>
        <v>1.4591377698682237</v>
      </c>
      <c r="N345" s="304">
        <f t="shared" ca="1" si="162"/>
        <v>83.60243594158041</v>
      </c>
      <c r="P345" s="310">
        <f t="shared" ca="1" si="163"/>
        <v>9</v>
      </c>
      <c r="Q345" s="304">
        <f t="shared" ca="1" si="164"/>
        <v>105.03703703705391</v>
      </c>
      <c r="R345" s="306">
        <f t="shared" ca="1" si="165"/>
        <v>5.2713195032611571E-2</v>
      </c>
      <c r="S345" s="307">
        <f t="shared" ca="1" si="166"/>
        <v>6.1565635203259506</v>
      </c>
      <c r="T345" s="304">
        <f t="shared" ca="1" si="146"/>
        <v>60.39588813439758</v>
      </c>
      <c r="U345" s="311">
        <f t="shared" ca="1" si="147"/>
        <v>0</v>
      </c>
      <c r="V345" s="306">
        <f t="shared" ca="1" si="148"/>
        <v>1.165291417621555</v>
      </c>
      <c r="W345" s="304">
        <f t="shared" ca="1" si="149"/>
        <v>149.55989063438003</v>
      </c>
      <c r="Y345" s="314" t="str">
        <f t="shared" ca="1" si="167"/>
        <v/>
      </c>
      <c r="Z345" s="315" t="str">
        <f t="shared" ca="1" si="168"/>
        <v/>
      </c>
      <c r="AA345" s="316" t="str">
        <f t="shared" ca="1" si="169"/>
        <v/>
      </c>
      <c r="AC345" s="310" t="e">
        <f t="shared" ca="1" si="170"/>
        <v>#N/A</v>
      </c>
      <c r="AD345" s="323" t="e">
        <f t="shared" ca="1" si="171"/>
        <v>#N/A</v>
      </c>
      <c r="AE345" s="324">
        <f t="shared" ca="1" si="150"/>
        <v>499.59249268323924</v>
      </c>
      <c r="AG345" s="306">
        <f t="shared" ca="1" si="172"/>
        <v>-17.021689878164619</v>
      </c>
      <c r="AH345" s="304">
        <f t="shared" ca="1" si="173"/>
        <v>-7.2727291813778487</v>
      </c>
    </row>
    <row r="346" spans="1:34" x14ac:dyDescent="0.2">
      <c r="A346" s="347">
        <f t="shared" ca="1" si="151"/>
        <v>0.01</v>
      </c>
      <c r="B346" s="304">
        <f t="shared" ca="1" si="152"/>
        <v>3.4199999999999711</v>
      </c>
      <c r="D346" s="306">
        <f t="shared" ca="1" si="153"/>
        <v>-0.9117976481101947</v>
      </c>
      <c r="E346" s="307">
        <f t="shared" ca="1" si="154"/>
        <v>-17.941980209883113</v>
      </c>
      <c r="F346" s="304">
        <f t="shared" ca="1" si="155"/>
        <v>17.965133698443118</v>
      </c>
      <c r="G346" s="306">
        <f t="shared" ca="1" si="156"/>
        <v>26.117288929267271</v>
      </c>
      <c r="H346" s="307">
        <f t="shared" ca="1" si="157"/>
        <v>232.83217476961963</v>
      </c>
      <c r="I346" s="304">
        <f t="shared" ca="1" si="158"/>
        <v>234.29241214551854</v>
      </c>
      <c r="J346" s="306">
        <f t="shared" ca="1" si="159"/>
        <v>52.952720609771312</v>
      </c>
      <c r="K346" s="307">
        <f t="shared" ca="1" si="160"/>
        <v>501.92171152994592</v>
      </c>
      <c r="L346" s="304">
        <f t="shared" ca="1" si="145"/>
        <v>504.70723704453331</v>
      </c>
      <c r="M346" s="306">
        <f t="shared" ca="1" si="161"/>
        <v>1.4590911146761301</v>
      </c>
      <c r="N346" s="304">
        <f t="shared" ca="1" si="162"/>
        <v>83.599762795981064</v>
      </c>
      <c r="P346" s="310">
        <f t="shared" ca="1" si="163"/>
        <v>9</v>
      </c>
      <c r="Q346" s="304">
        <f t="shared" ca="1" si="164"/>
        <v>99.185185185202172</v>
      </c>
      <c r="R346" s="306">
        <f t="shared" ca="1" si="165"/>
        <v>4.9776423236013854E-2</v>
      </c>
      <c r="S346" s="307">
        <f t="shared" ca="1" si="166"/>
        <v>6.1560657560935903</v>
      </c>
      <c r="T346" s="304">
        <f t="shared" ca="1" si="146"/>
        <v>60.391005067278122</v>
      </c>
      <c r="U346" s="311">
        <f t="shared" ca="1" si="147"/>
        <v>0</v>
      </c>
      <c r="V346" s="306">
        <f t="shared" ca="1" si="148"/>
        <v>1.1650198571357924</v>
      </c>
      <c r="W346" s="304">
        <f t="shared" ca="1" si="149"/>
        <v>149.29641837024539</v>
      </c>
      <c r="Y346" s="314" t="str">
        <f t="shared" ca="1" si="167"/>
        <v/>
      </c>
      <c r="Z346" s="315" t="str">
        <f t="shared" ca="1" si="168"/>
        <v/>
      </c>
      <c r="AA346" s="316" t="str">
        <f t="shared" ca="1" si="169"/>
        <v/>
      </c>
      <c r="AC346" s="310" t="e">
        <f t="shared" ca="1" si="170"/>
        <v>#N/A</v>
      </c>
      <c r="AD346" s="323" t="e">
        <f t="shared" ca="1" si="171"/>
        <v>#N/A</v>
      </c>
      <c r="AE346" s="324">
        <f t="shared" ca="1" si="150"/>
        <v>501.92171152994592</v>
      </c>
      <c r="AG346" s="306">
        <f t="shared" ca="1" si="172"/>
        <v>-17.931847938410939</v>
      </c>
      <c r="AH346" s="304">
        <f t="shared" ca="1" si="173"/>
        <v>-8.182938169449276</v>
      </c>
    </row>
    <row r="347" spans="1:34" x14ac:dyDescent="0.2">
      <c r="A347" s="347">
        <f t="shared" ca="1" si="151"/>
        <v>0.01</v>
      </c>
      <c r="B347" s="304">
        <f t="shared" ca="1" si="152"/>
        <v>3.4299999999999708</v>
      </c>
      <c r="D347" s="306">
        <f t="shared" ca="1" si="153"/>
        <v>-1.0134476331624473</v>
      </c>
      <c r="E347" s="307">
        <f t="shared" ca="1" si="154"/>
        <v>-18.844751542680743</v>
      </c>
      <c r="F347" s="304">
        <f t="shared" ca="1" si="155"/>
        <v>18.871982853174991</v>
      </c>
      <c r="G347" s="306">
        <f t="shared" ca="1" si="156"/>
        <v>26.107154452935646</v>
      </c>
      <c r="H347" s="307">
        <f t="shared" ca="1" si="157"/>
        <v>232.64372725419281</v>
      </c>
      <c r="I347" s="304">
        <f t="shared" ca="1" si="158"/>
        <v>234.10400967166856</v>
      </c>
      <c r="J347" s="306">
        <f t="shared" ca="1" si="159"/>
        <v>53.213842826682324</v>
      </c>
      <c r="K347" s="307">
        <f t="shared" ca="1" si="160"/>
        <v>504.24909104006497</v>
      </c>
      <c r="L347" s="304">
        <f t="shared" ca="1" si="145"/>
        <v>507.04916811204271</v>
      </c>
      <c r="M347" s="306">
        <f t="shared" ca="1" si="161"/>
        <v>1.4590444025080185</v>
      </c>
      <c r="N347" s="304">
        <f t="shared" ca="1" si="162"/>
        <v>83.597086385896361</v>
      </c>
      <c r="P347" s="310">
        <f t="shared" ca="1" si="163"/>
        <v>9</v>
      </c>
      <c r="Q347" s="304">
        <f t="shared" ca="1" si="164"/>
        <v>93.333333333350453</v>
      </c>
      <c r="R347" s="306">
        <f t="shared" ca="1" si="165"/>
        <v>4.6839651439416145E-2</v>
      </c>
      <c r="S347" s="307">
        <f t="shared" ca="1" si="166"/>
        <v>6.155597359579196</v>
      </c>
      <c r="T347" s="304">
        <f t="shared" ca="1" si="146"/>
        <v>60.386410097471916</v>
      </c>
      <c r="U347" s="311">
        <f t="shared" ca="1" si="147"/>
        <v>0</v>
      </c>
      <c r="V347" s="306">
        <f t="shared" ca="1" si="148"/>
        <v>1.1647485727195925</v>
      </c>
      <c r="W347" s="304">
        <f t="shared" ca="1" si="149"/>
        <v>149.02169727909174</v>
      </c>
      <c r="Y347" s="314" t="str">
        <f t="shared" ca="1" si="167"/>
        <v/>
      </c>
      <c r="Z347" s="315" t="str">
        <f t="shared" ca="1" si="168"/>
        <v/>
      </c>
      <c r="AA347" s="316" t="str">
        <f t="shared" ca="1" si="169"/>
        <v/>
      </c>
      <c r="AC347" s="310" t="e">
        <f t="shared" ca="1" si="170"/>
        <v>#N/A</v>
      </c>
      <c r="AD347" s="323" t="e">
        <f t="shared" ca="1" si="171"/>
        <v>#N/A</v>
      </c>
      <c r="AE347" s="324">
        <f t="shared" ca="1" si="150"/>
        <v>504.24909104006497</v>
      </c>
      <c r="AG347" s="306">
        <f t="shared" ca="1" si="172"/>
        <v>-18.840272926055661</v>
      </c>
      <c r="AH347" s="304">
        <f t="shared" ca="1" si="173"/>
        <v>-9.0914141662963868</v>
      </c>
    </row>
    <row r="348" spans="1:34" x14ac:dyDescent="0.2">
      <c r="A348" s="347">
        <f t="shared" ca="1" si="151"/>
        <v>0.01</v>
      </c>
      <c r="B348" s="304">
        <f t="shared" ca="1" si="152"/>
        <v>3.4399999999999706</v>
      </c>
      <c r="D348" s="306">
        <f t="shared" ca="1" si="153"/>
        <v>-1.1149887159460234</v>
      </c>
      <c r="E348" s="307">
        <f t="shared" ca="1" si="154"/>
        <v>-19.745787187825115</v>
      </c>
      <c r="F348" s="304">
        <f t="shared" ca="1" si="155"/>
        <v>19.777242262347031</v>
      </c>
      <c r="G348" s="306">
        <f t="shared" ca="1" si="156"/>
        <v>26.096004565776184</v>
      </c>
      <c r="H348" s="307">
        <f t="shared" ca="1" si="157"/>
        <v>232.44626938231457</v>
      </c>
      <c r="I348" s="304">
        <f t="shared" ca="1" si="158"/>
        <v>233.90654031910387</v>
      </c>
      <c r="J348" s="306">
        <f t="shared" ca="1" si="159"/>
        <v>53.47485862177588</v>
      </c>
      <c r="K348" s="307">
        <f t="shared" ca="1" si="160"/>
        <v>506.57454102324749</v>
      </c>
      <c r="L348" s="304">
        <f t="shared" ca="1" si="145"/>
        <v>509.38916961153853</v>
      </c>
      <c r="M348" s="306">
        <f t="shared" ca="1" si="161"/>
        <v>1.4589976314355557</v>
      </c>
      <c r="N348" s="304">
        <f t="shared" ca="1" si="162"/>
        <v>83.594406600840941</v>
      </c>
      <c r="P348" s="310">
        <f t="shared" ca="1" si="163"/>
        <v>9</v>
      </c>
      <c r="Q348" s="304">
        <f t="shared" ca="1" si="164"/>
        <v>87.481481481498719</v>
      </c>
      <c r="R348" s="306">
        <f t="shared" ca="1" si="165"/>
        <v>4.3902879642818429E-2</v>
      </c>
      <c r="S348" s="307">
        <f t="shared" ca="1" si="166"/>
        <v>6.1551583307827675</v>
      </c>
      <c r="T348" s="304">
        <f t="shared" ca="1" si="146"/>
        <v>60.382103224978955</v>
      </c>
      <c r="U348" s="311">
        <f t="shared" ca="1" si="147"/>
        <v>0</v>
      </c>
      <c r="V348" s="306">
        <f t="shared" ca="1" si="148"/>
        <v>1.1644775747151661</v>
      </c>
      <c r="W348" s="304">
        <f t="shared" ca="1" si="149"/>
        <v>148.73578647800622</v>
      </c>
      <c r="Y348" s="314" t="str">
        <f t="shared" ca="1" si="167"/>
        <v/>
      </c>
      <c r="Z348" s="315" t="str">
        <f t="shared" ca="1" si="168"/>
        <v/>
      </c>
      <c r="AA348" s="316" t="str">
        <f t="shared" ca="1" si="169"/>
        <v/>
      </c>
      <c r="AC348" s="310" t="e">
        <f t="shared" ca="1" si="170"/>
        <v>#N/A</v>
      </c>
      <c r="AD348" s="323" t="e">
        <f t="shared" ca="1" si="171"/>
        <v>#N/A</v>
      </c>
      <c r="AE348" s="324">
        <f t="shared" ca="1" si="150"/>
        <v>506.57454102324749</v>
      </c>
      <c r="AG348" s="306">
        <f t="shared" ca="1" si="172"/>
        <v>-19.746960840387793</v>
      </c>
      <c r="AH348" s="304">
        <f t="shared" ca="1" si="173"/>
        <v>-9.9981531733834039</v>
      </c>
    </row>
    <row r="349" spans="1:34" x14ac:dyDescent="0.2">
      <c r="A349" s="347">
        <f t="shared" ca="1" si="151"/>
        <v>0.01</v>
      </c>
      <c r="B349" s="304">
        <f t="shared" ca="1" si="152"/>
        <v>3.4499999999999704</v>
      </c>
      <c r="D349" s="306">
        <f t="shared" ca="1" si="153"/>
        <v>-1.2164204108519034</v>
      </c>
      <c r="E349" s="307">
        <f t="shared" ca="1" si="154"/>
        <v>-20.645083423990705</v>
      </c>
      <c r="F349" s="304">
        <f t="shared" ca="1" si="155"/>
        <v>20.680888477032919</v>
      </c>
      <c r="G349" s="306">
        <f t="shared" ca="1" si="156"/>
        <v>26.083840361667665</v>
      </c>
      <c r="H349" s="307">
        <f t="shared" ca="1" si="157"/>
        <v>232.23981854807465</v>
      </c>
      <c r="I349" s="304">
        <f t="shared" ca="1" si="158"/>
        <v>233.70002149605293</v>
      </c>
      <c r="J349" s="306">
        <f t="shared" ca="1" si="159"/>
        <v>53.735757846413101</v>
      </c>
      <c r="K349" s="307">
        <f t="shared" ca="1" si="160"/>
        <v>508.89797146289942</v>
      </c>
      <c r="L349" s="304">
        <f t="shared" ca="1" si="145"/>
        <v>511.7271509607267</v>
      </c>
      <c r="M349" s="306">
        <f t="shared" ca="1" si="161"/>
        <v>1.4589507995213495</v>
      </c>
      <c r="N349" s="304">
        <f t="shared" ca="1" si="162"/>
        <v>83.591723329810421</v>
      </c>
      <c r="P349" s="310">
        <f t="shared" ca="1" si="163"/>
        <v>9</v>
      </c>
      <c r="Q349" s="304">
        <f t="shared" ca="1" si="164"/>
        <v>81.629629629646985</v>
      </c>
      <c r="R349" s="306">
        <f t="shared" ca="1" si="165"/>
        <v>4.0966107846220713E-2</v>
      </c>
      <c r="S349" s="307">
        <f t="shared" ca="1" si="166"/>
        <v>6.154748669704305</v>
      </c>
      <c r="T349" s="304">
        <f t="shared" ca="1" si="146"/>
        <v>60.378084449799232</v>
      </c>
      <c r="U349" s="311">
        <f t="shared" ca="1" si="147"/>
        <v>0</v>
      </c>
      <c r="V349" s="306">
        <f t="shared" ca="1" si="148"/>
        <v>1.1642068734351811</v>
      </c>
      <c r="W349" s="304">
        <f t="shared" ca="1" si="149"/>
        <v>148.43874632361909</v>
      </c>
      <c r="Y349" s="314" t="str">
        <f t="shared" ca="1" si="167"/>
        <v/>
      </c>
      <c r="Z349" s="315" t="str">
        <f t="shared" ca="1" si="168"/>
        <v/>
      </c>
      <c r="AA349" s="316" t="str">
        <f t="shared" ca="1" si="169"/>
        <v/>
      </c>
      <c r="AC349" s="310" t="e">
        <f t="shared" ca="1" si="170"/>
        <v>#N/A</v>
      </c>
      <c r="AD349" s="323" t="e">
        <f t="shared" ca="1" si="171"/>
        <v>#N/A</v>
      </c>
      <c r="AE349" s="324">
        <f t="shared" ca="1" si="150"/>
        <v>508.89797146289942</v>
      </c>
      <c r="AG349" s="306">
        <f t="shared" ca="1" si="172"/>
        <v>-20.651907932966264</v>
      </c>
      <c r="AH349" s="304">
        <f t="shared" ca="1" si="173"/>
        <v>-10.903151444457478</v>
      </c>
    </row>
    <row r="350" spans="1:34" x14ac:dyDescent="0.2">
      <c r="A350" s="347">
        <f t="shared" ca="1" si="151"/>
        <v>0.01</v>
      </c>
      <c r="B350" s="304">
        <f t="shared" ca="1" si="152"/>
        <v>3.4599999999999702</v>
      </c>
      <c r="D350" s="306">
        <f t="shared" ca="1" si="153"/>
        <v>-1.3177422659390772</v>
      </c>
      <c r="E350" s="307">
        <f t="shared" ca="1" si="154"/>
        <v>-21.542636777848081</v>
      </c>
      <c r="F350" s="304">
        <f t="shared" ca="1" si="155"/>
        <v>21.582901658992355</v>
      </c>
      <c r="G350" s="306">
        <f t="shared" ca="1" si="156"/>
        <v>26.070662939008276</v>
      </c>
      <c r="H350" s="307">
        <f t="shared" ca="1" si="157"/>
        <v>232.02439218029616</v>
      </c>
      <c r="I350" s="304">
        <f t="shared" ca="1" si="158"/>
        <v>233.48447064572679</v>
      </c>
      <c r="J350" s="306">
        <f t="shared" ca="1" si="159"/>
        <v>53.996530362916481</v>
      </c>
      <c r="K350" s="307">
        <f t="shared" ca="1" si="160"/>
        <v>511.21929251654126</v>
      </c>
      <c r="L350" s="304">
        <f t="shared" ca="1" si="145"/>
        <v>514.06302175156145</v>
      </c>
      <c r="M350" s="306">
        <f t="shared" ca="1" si="161"/>
        <v>1.4589039048184866</v>
      </c>
      <c r="N350" s="304">
        <f t="shared" ca="1" si="162"/>
        <v>83.58903646125485</v>
      </c>
      <c r="P350" s="310">
        <f t="shared" ca="1" si="163"/>
        <v>9</v>
      </c>
      <c r="Q350" s="304">
        <f t="shared" ca="1" si="164"/>
        <v>75.777777777795279</v>
      </c>
      <c r="R350" s="306">
        <f t="shared" ca="1" si="165"/>
        <v>3.8029336049623011E-2</v>
      </c>
      <c r="S350" s="307">
        <f t="shared" ca="1" si="166"/>
        <v>6.1543683763438084</v>
      </c>
      <c r="T350" s="304">
        <f t="shared" ca="1" si="146"/>
        <v>60.374353771932761</v>
      </c>
      <c r="U350" s="311">
        <f t="shared" ca="1" si="147"/>
        <v>0</v>
      </c>
      <c r="V350" s="306">
        <f t="shared" ca="1" si="148"/>
        <v>1.1639364791627727</v>
      </c>
      <c r="W350" s="304">
        <f t="shared" ca="1" si="149"/>
        <v>148.13063839778778</v>
      </c>
      <c r="Y350" s="314" t="str">
        <f t="shared" ca="1" si="167"/>
        <v/>
      </c>
      <c r="Z350" s="315" t="str">
        <f t="shared" ca="1" si="168"/>
        <v/>
      </c>
      <c r="AA350" s="316" t="str">
        <f t="shared" ca="1" si="169"/>
        <v/>
      </c>
      <c r="AC350" s="310" t="e">
        <f t="shared" ca="1" si="170"/>
        <v>#N/A</v>
      </c>
      <c r="AD350" s="323" t="e">
        <f t="shared" ca="1" si="171"/>
        <v>#N/A</v>
      </c>
      <c r="AE350" s="324">
        <f t="shared" ca="1" si="150"/>
        <v>511.21929251654126</v>
      </c>
      <c r="AG350" s="306">
        <f t="shared" ca="1" si="172"/>
        <v>-21.555110705551108</v>
      </c>
      <c r="AH350" s="304">
        <f t="shared" ca="1" si="173"/>
        <v>-11.806405483480384</v>
      </c>
    </row>
    <row r="351" spans="1:34" x14ac:dyDescent="0.2">
      <c r="A351" s="347">
        <f t="shared" ca="1" si="151"/>
        <v>0.01</v>
      </c>
      <c r="B351" s="304">
        <f t="shared" ca="1" si="152"/>
        <v>3.46999999999997</v>
      </c>
      <c r="D351" s="306">
        <f t="shared" ca="1" si="153"/>
        <v>-1.4189538627716469</v>
      </c>
      <c r="E351" s="307">
        <f t="shared" ca="1" si="154"/>
        <v>-22.438444021991508</v>
      </c>
      <c r="F351" s="304">
        <f t="shared" ca="1" si="155"/>
        <v>22.483264891752732</v>
      </c>
      <c r="G351" s="306">
        <f t="shared" ca="1" si="156"/>
        <v>26.056473400380561</v>
      </c>
      <c r="H351" s="307">
        <f t="shared" ca="1" si="157"/>
        <v>231.80000774007624</v>
      </c>
      <c r="I351" s="304">
        <f t="shared" ca="1" si="158"/>
        <v>233.25990524383769</v>
      </c>
      <c r="J351" s="306">
        <f t="shared" ca="1" si="159"/>
        <v>54.257166044613427</v>
      </c>
      <c r="K351" s="307">
        <f t="shared" ca="1" si="160"/>
        <v>513.53841451614312</v>
      </c>
      <c r="L351" s="304">
        <f t="shared" ca="1" si="145"/>
        <v>516.39669175058316</v>
      </c>
      <c r="M351" s="306">
        <f t="shared" ca="1" si="161"/>
        <v>1.4588569453700686</v>
      </c>
      <c r="N351" s="304">
        <f t="shared" ca="1" si="162"/>
        <v>83.586345883052232</v>
      </c>
      <c r="P351" s="310">
        <f t="shared" ca="1" si="163"/>
        <v>9</v>
      </c>
      <c r="Q351" s="304">
        <f t="shared" ca="1" si="164"/>
        <v>69.925925925943545</v>
      </c>
      <c r="R351" s="306">
        <f t="shared" ca="1" si="165"/>
        <v>3.5092564253025295E-2</v>
      </c>
      <c r="S351" s="307">
        <f t="shared" ca="1" si="166"/>
        <v>6.1540174507012786</v>
      </c>
      <c r="T351" s="304">
        <f t="shared" ca="1" si="146"/>
        <v>60.370911191379548</v>
      </c>
      <c r="U351" s="311">
        <f t="shared" ca="1" si="147"/>
        <v>0</v>
      </c>
      <c r="V351" s="306">
        <f t="shared" ca="1" si="148"/>
        <v>1.1636664021515555</v>
      </c>
      <c r="W351" s="304">
        <f t="shared" ca="1" si="149"/>
        <v>147.81152549334936</v>
      </c>
      <c r="Y351" s="314" t="str">
        <f t="shared" ca="1" si="167"/>
        <v/>
      </c>
      <c r="Z351" s="315" t="str">
        <f t="shared" ca="1" si="168"/>
        <v/>
      </c>
      <c r="AA351" s="316" t="str">
        <f t="shared" ca="1" si="169"/>
        <v/>
      </c>
      <c r="AC351" s="310" t="e">
        <f t="shared" ca="1" si="170"/>
        <v>#N/A</v>
      </c>
      <c r="AD351" s="323" t="e">
        <f t="shared" ca="1" si="171"/>
        <v>#N/A</v>
      </c>
      <c r="AE351" s="324">
        <f t="shared" ca="1" si="150"/>
        <v>513.53841451614312</v>
      </c>
      <c r="AG351" s="306">
        <f t="shared" ca="1" si="172"/>
        <v>-22.456565908026761</v>
      </c>
      <c r="AH351" s="304">
        <f t="shared" ca="1" si="173"/>
        <v>-12.707912042552373</v>
      </c>
    </row>
    <row r="352" spans="1:34" x14ac:dyDescent="0.2">
      <c r="A352" s="347">
        <f t="shared" ca="1" si="151"/>
        <v>0.01</v>
      </c>
      <c r="B352" s="304">
        <f t="shared" ca="1" si="152"/>
        <v>3.4799999999999698</v>
      </c>
      <c r="D352" s="306">
        <f t="shared" ca="1" si="153"/>
        <v>-1.5176178240184555</v>
      </c>
      <c r="E352" s="307">
        <f t="shared" ca="1" si="154"/>
        <v>-23.310822538356934</v>
      </c>
      <c r="F352" s="304">
        <f t="shared" ca="1" si="155"/>
        <v>23.360171473569025</v>
      </c>
      <c r="G352" s="306">
        <f t="shared" ca="1" si="156"/>
        <v>26.041297222140376</v>
      </c>
      <c r="H352" s="307">
        <f t="shared" ca="1" si="157"/>
        <v>231.56689951469266</v>
      </c>
      <c r="I352" s="304">
        <f t="shared" ca="1" si="158"/>
        <v>233.02656095788657</v>
      </c>
      <c r="J352" s="306">
        <f t="shared" ca="1" si="159"/>
        <v>54.517654897726032</v>
      </c>
      <c r="K352" s="307">
        <f t="shared" ca="1" si="160"/>
        <v>515.85524905241698</v>
      </c>
      <c r="L352" s="304">
        <f t="shared" ca="1" si="145"/>
        <v>518.72807199001556</v>
      </c>
      <c r="M352" s="306">
        <f t="shared" ca="1" si="161"/>
        <v>1.4588099192527655</v>
      </c>
      <c r="N352" s="304">
        <f t="shared" ca="1" si="162"/>
        <v>83.583651485003884</v>
      </c>
      <c r="P352" s="310">
        <f t="shared" ca="1" si="163"/>
        <v>10</v>
      </c>
      <c r="Q352" s="304">
        <f t="shared" ca="1" si="164"/>
        <v>64.20833333335024</v>
      </c>
      <c r="R352" s="306">
        <f t="shared" ca="1" si="165"/>
        <v>3.2223170923279483E-2</v>
      </c>
      <c r="S352" s="307">
        <f t="shared" ca="1" si="166"/>
        <v>6.1536952189920457</v>
      </c>
      <c r="T352" s="304">
        <f t="shared" ca="1" si="146"/>
        <v>60.367750098311973</v>
      </c>
      <c r="U352" s="311">
        <f t="shared" ca="1" si="147"/>
        <v>0</v>
      </c>
      <c r="V352" s="306">
        <f t="shared" ca="1" si="148"/>
        <v>1.1633966524994472</v>
      </c>
      <c r="W352" s="304">
        <f t="shared" ca="1" si="149"/>
        <v>147.4817477315307</v>
      </c>
      <c r="Y352" s="314" t="str">
        <f t="shared" ca="1" si="167"/>
        <v/>
      </c>
      <c r="Z352" s="315" t="str">
        <f t="shared" ca="1" si="168"/>
        <v/>
      </c>
      <c r="AA352" s="316" t="str">
        <f t="shared" ca="1" si="169"/>
        <v/>
      </c>
      <c r="AC352" s="310" t="e">
        <f t="shared" ca="1" si="170"/>
        <v>#N/A</v>
      </c>
      <c r="AD352" s="323" t="e">
        <f t="shared" ca="1" si="171"/>
        <v>#N/A</v>
      </c>
      <c r="AE352" s="324">
        <f t="shared" ca="1" si="150"/>
        <v>515.85524905241698</v>
      </c>
      <c r="AG352" s="306">
        <f t="shared" ca="1" si="172"/>
        <v>-23.334454361508641</v>
      </c>
      <c r="AH352" s="304">
        <f t="shared" ca="1" si="173"/>
        <v>-13.585851945019312</v>
      </c>
    </row>
    <row r="353" spans="1:34" x14ac:dyDescent="0.2">
      <c r="A353" s="347">
        <f t="shared" ca="1" si="151"/>
        <v>0.01</v>
      </c>
      <c r="B353" s="304">
        <f t="shared" ca="1" si="152"/>
        <v>3.4899999999999696</v>
      </c>
      <c r="D353" s="306">
        <f t="shared" ca="1" si="153"/>
        <v>-1.6137356142286692</v>
      </c>
      <c r="E353" s="307">
        <f t="shared" ca="1" si="154"/>
        <v>-24.159813284480347</v>
      </c>
      <c r="F353" s="304">
        <f t="shared" ca="1" si="155"/>
        <v>24.213647403346382</v>
      </c>
      <c r="G353" s="306">
        <f t="shared" ca="1" si="156"/>
        <v>26.025159865998088</v>
      </c>
      <c r="H353" s="307">
        <f t="shared" ca="1" si="157"/>
        <v>231.32530138184785</v>
      </c>
      <c r="I353" s="304">
        <f t="shared" ca="1" si="158"/>
        <v>232.78467304668814</v>
      </c>
      <c r="J353" s="306">
        <f t="shared" ca="1" si="159"/>
        <v>54.777987183166722</v>
      </c>
      <c r="K353" s="307">
        <f t="shared" ca="1" si="160"/>
        <v>518.1697100568997</v>
      </c>
      <c r="L353" s="304">
        <f t="shared" ca="1" si="145"/>
        <v>521.05707585665766</v>
      </c>
      <c r="M353" s="306">
        <f t="shared" ca="1" si="161"/>
        <v>1.4587628245767117</v>
      </c>
      <c r="N353" s="304">
        <f t="shared" ca="1" si="162"/>
        <v>83.580953158828464</v>
      </c>
      <c r="P353" s="310">
        <f t="shared" ca="1" si="163"/>
        <v>10</v>
      </c>
      <c r="Q353" s="304">
        <f t="shared" ca="1" si="164"/>
        <v>58.625000000017017</v>
      </c>
      <c r="R353" s="306">
        <f t="shared" ca="1" si="165"/>
        <v>2.9421156060386408E-2</v>
      </c>
      <c r="S353" s="307">
        <f t="shared" ca="1" si="166"/>
        <v>6.1534010074314418</v>
      </c>
      <c r="T353" s="304">
        <f t="shared" ca="1" si="146"/>
        <v>60.364863882902448</v>
      </c>
      <c r="U353" s="311">
        <f t="shared" ca="1" si="147"/>
        <v>0</v>
      </c>
      <c r="V353" s="306">
        <f t="shared" ca="1" si="148"/>
        <v>1.1631272400229171</v>
      </c>
      <c r="W353" s="304">
        <f t="shared" ca="1" si="149"/>
        <v>147.14164442929885</v>
      </c>
      <c r="Y353" s="314" t="str">
        <f t="shared" ca="1" si="167"/>
        <v/>
      </c>
      <c r="Z353" s="315" t="str">
        <f t="shared" ca="1" si="168"/>
        <v/>
      </c>
      <c r="AA353" s="316" t="str">
        <f t="shared" ca="1" si="169"/>
        <v/>
      </c>
      <c r="AC353" s="310" t="e">
        <f t="shared" ca="1" si="170"/>
        <v>#N/A</v>
      </c>
      <c r="AD353" s="323" t="e">
        <f t="shared" ca="1" si="171"/>
        <v>#N/A</v>
      </c>
      <c r="AE353" s="324">
        <f t="shared" ca="1" si="150"/>
        <v>518.1697100568997</v>
      </c>
      <c r="AG353" s="306">
        <f t="shared" ca="1" si="172"/>
        <v>-24.188816934597227</v>
      </c>
      <c r="AH353" s="304">
        <f t="shared" ca="1" si="173"/>
        <v>-14.44026606167901</v>
      </c>
    </row>
    <row r="354" spans="1:34" x14ac:dyDescent="0.2">
      <c r="A354" s="347">
        <f t="shared" ca="1" si="151"/>
        <v>0.01</v>
      </c>
      <c r="B354" s="304">
        <f t="shared" ca="1" si="152"/>
        <v>3.4999999999999694</v>
      </c>
      <c r="D354" s="306">
        <f t="shared" ca="1" si="153"/>
        <v>-1.7097480374659688</v>
      </c>
      <c r="E354" s="307">
        <f t="shared" ca="1" si="154"/>
        <v>-25.007139310201516</v>
      </c>
      <c r="F354" s="304">
        <f t="shared" ca="1" si="155"/>
        <v>25.065519241209522</v>
      </c>
      <c r="G354" s="306">
        <f t="shared" ca="1" si="156"/>
        <v>26.008062385623429</v>
      </c>
      <c r="H354" s="307">
        <f t="shared" ca="1" si="157"/>
        <v>231.07522998874583</v>
      </c>
      <c r="I354" s="304">
        <f t="shared" ca="1" si="158"/>
        <v>232.53425817157836</v>
      </c>
      <c r="J354" s="306">
        <f t="shared" ca="1" si="159"/>
        <v>55.038153294424831</v>
      </c>
      <c r="K354" s="307">
        <f t="shared" ca="1" si="160"/>
        <v>520.4817127137527</v>
      </c>
      <c r="L354" s="304">
        <f t="shared" ca="1" si="145"/>
        <v>523.38361799687812</v>
      </c>
      <c r="M354" s="306">
        <f t="shared" ca="1" si="161"/>
        <v>1.4587156594411743</v>
      </c>
      <c r="N354" s="304">
        <f t="shared" ca="1" si="162"/>
        <v>83.578250795622012</v>
      </c>
      <c r="P354" s="310">
        <f t="shared" ca="1" si="163"/>
        <v>10</v>
      </c>
      <c r="Q354" s="304">
        <f t="shared" ca="1" si="164"/>
        <v>53.041666666683788</v>
      </c>
      <c r="R354" s="306">
        <f t="shared" ca="1" si="165"/>
        <v>2.661914119749333E-2</v>
      </c>
      <c r="S354" s="307">
        <f t="shared" ca="1" si="166"/>
        <v>6.1531348160194668</v>
      </c>
      <c r="T354" s="304">
        <f t="shared" ca="1" si="146"/>
        <v>60.362252545150973</v>
      </c>
      <c r="U354" s="311">
        <f t="shared" ca="1" si="147"/>
        <v>0</v>
      </c>
      <c r="V354" s="306">
        <f t="shared" ca="1" si="148"/>
        <v>1.1628581743839552</v>
      </c>
      <c r="W354" s="304">
        <f t="shared" ca="1" si="149"/>
        <v>146.79127853720658</v>
      </c>
      <c r="Y354" s="314" t="str">
        <f t="shared" ca="1" si="167"/>
        <v/>
      </c>
      <c r="Z354" s="315" t="str">
        <f t="shared" ca="1" si="168"/>
        <v/>
      </c>
      <c r="AA354" s="316" t="str">
        <f t="shared" ca="1" si="169"/>
        <v>Satellite</v>
      </c>
      <c r="AC354" s="310" t="e">
        <f t="shared" ca="1" si="170"/>
        <v>#N/A</v>
      </c>
      <c r="AD354" s="323" t="e">
        <f t="shared" ca="1" si="171"/>
        <v>#N/A</v>
      </c>
      <c r="AE354" s="324">
        <f t="shared" ca="1" si="150"/>
        <v>520.4817127137527</v>
      </c>
      <c r="AG354" s="306">
        <f t="shared" ca="1" si="172"/>
        <v>-25.041513375181307</v>
      </c>
      <c r="AH354" s="304">
        <f t="shared" ca="1" si="173"/>
        <v>-15.293014142584545</v>
      </c>
    </row>
    <row r="355" spans="1:34" x14ac:dyDescent="0.2">
      <c r="A355" s="347">
        <f t="shared" ca="1" si="151"/>
        <v>0.01</v>
      </c>
      <c r="B355" s="304">
        <f t="shared" ca="1" si="152"/>
        <v>3.5099999999999691</v>
      </c>
      <c r="D355" s="306">
        <f t="shared" ca="1" si="153"/>
        <v>-1.805654881043087</v>
      </c>
      <c r="E355" s="307">
        <f t="shared" ca="1" si="154"/>
        <v>-25.852798987900513</v>
      </c>
      <c r="F355" s="304">
        <f t="shared" ca="1" si="155"/>
        <v>25.915779074884565</v>
      </c>
      <c r="G355" s="306">
        <f t="shared" ca="1" si="156"/>
        <v>25.990005836812998</v>
      </c>
      <c r="H355" s="307">
        <f t="shared" ca="1" si="157"/>
        <v>230.81670199886682</v>
      </c>
      <c r="I355" s="304">
        <f t="shared" ca="1" si="158"/>
        <v>232.27533301026881</v>
      </c>
      <c r="J355" s="306">
        <f t="shared" ca="1" si="159"/>
        <v>55.298143635537009</v>
      </c>
      <c r="K355" s="307">
        <f t="shared" ca="1" si="160"/>
        <v>522.79117237369076</v>
      </c>
      <c r="L355" s="304">
        <f t="shared" ca="1" si="145"/>
        <v>525.70761322373346</v>
      </c>
      <c r="M355" s="306">
        <f t="shared" ca="1" si="161"/>
        <v>1.4586684219341077</v>
      </c>
      <c r="N355" s="304">
        <f t="shared" ca="1" si="162"/>
        <v>83.575544285832365</v>
      </c>
      <c r="P355" s="310">
        <f t="shared" ca="1" si="163"/>
        <v>10</v>
      </c>
      <c r="Q355" s="304">
        <f t="shared" ca="1" si="164"/>
        <v>47.458333333350552</v>
      </c>
      <c r="R355" s="306">
        <f t="shared" ca="1" si="165"/>
        <v>2.3817126334600251E-2</v>
      </c>
      <c r="S355" s="307">
        <f t="shared" ca="1" si="166"/>
        <v>6.1528966447561206</v>
      </c>
      <c r="T355" s="304">
        <f t="shared" ca="1" si="146"/>
        <v>60.359916085057549</v>
      </c>
      <c r="U355" s="311">
        <f t="shared" ca="1" si="147"/>
        <v>0</v>
      </c>
      <c r="V355" s="306">
        <f t="shared" ca="1" si="148"/>
        <v>1.1625894652166167</v>
      </c>
      <c r="W355" s="304">
        <f t="shared" ca="1" si="149"/>
        <v>146.43071403823413</v>
      </c>
      <c r="Y355" s="314" t="str">
        <f t="shared" ca="1" si="167"/>
        <v/>
      </c>
      <c r="Z355" s="315" t="str">
        <f t="shared" ca="1" si="168"/>
        <v/>
      </c>
      <c r="AA355" s="316" t="str">
        <f t="shared" ca="1" si="169"/>
        <v/>
      </c>
      <c r="AC355" s="310" t="e">
        <f t="shared" ca="1" si="170"/>
        <v>#N/A</v>
      </c>
      <c r="AD355" s="323" t="e">
        <f t="shared" ca="1" si="171"/>
        <v>#N/A</v>
      </c>
      <c r="AE355" s="324">
        <f t="shared" ca="1" si="150"/>
        <v>522.79117237369076</v>
      </c>
      <c r="AG355" s="306">
        <f t="shared" ca="1" si="172"/>
        <v>-25.892542045707522</v>
      </c>
      <c r="AH355" s="304">
        <f t="shared" ca="1" si="173"/>
        <v>-16.144094552362375</v>
      </c>
    </row>
    <row r="356" spans="1:34" x14ac:dyDescent="0.2">
      <c r="A356" s="347">
        <f t="shared" ca="1" si="151"/>
        <v>0.01</v>
      </c>
      <c r="B356" s="304">
        <f t="shared" ca="1" si="152"/>
        <v>3.5199999999999689</v>
      </c>
      <c r="D356" s="306">
        <f t="shared" ca="1" si="153"/>
        <v>-1.9014559617355551</v>
      </c>
      <c r="E356" s="307">
        <f t="shared" ca="1" si="154"/>
        <v>-26.69679090107131</v>
      </c>
      <c r="F356" s="304">
        <f t="shared" ca="1" si="155"/>
        <v>26.764420023418097</v>
      </c>
      <c r="G356" s="306">
        <f t="shared" ca="1" si="156"/>
        <v>25.97099127719564</v>
      </c>
      <c r="H356" s="307">
        <f t="shared" ca="1" si="157"/>
        <v>230.54973408985612</v>
      </c>
      <c r="I356" s="304">
        <f t="shared" ca="1" si="158"/>
        <v>232.00791425471576</v>
      </c>
      <c r="J356" s="306">
        <f t="shared" ca="1" si="159"/>
        <v>55.557948621107052</v>
      </c>
      <c r="K356" s="307">
        <f t="shared" ca="1" si="160"/>
        <v>525.09800455413438</v>
      </c>
      <c r="L356" s="304">
        <f t="shared" ca="1" si="145"/>
        <v>528.02897651712192</v>
      </c>
      <c r="M356" s="306">
        <f t="shared" ca="1" si="161"/>
        <v>1.4586211101317021</v>
      </c>
      <c r="N356" s="304">
        <f t="shared" ca="1" si="162"/>
        <v>83.57283351923337</v>
      </c>
      <c r="P356" s="310">
        <f t="shared" ca="1" si="163"/>
        <v>10</v>
      </c>
      <c r="Q356" s="304">
        <f t="shared" ca="1" si="164"/>
        <v>41.875000000017323</v>
      </c>
      <c r="R356" s="306">
        <f t="shared" ca="1" si="165"/>
        <v>2.1015111471707173E-2</v>
      </c>
      <c r="S356" s="307">
        <f t="shared" ca="1" si="166"/>
        <v>6.1526864936414034</v>
      </c>
      <c r="T356" s="304">
        <f t="shared" ca="1" si="146"/>
        <v>60.357854502622168</v>
      </c>
      <c r="U356" s="311">
        <f t="shared" ca="1" si="147"/>
        <v>0</v>
      </c>
      <c r="V356" s="306">
        <f t="shared" ca="1" si="148"/>
        <v>1.1623211221270575</v>
      </c>
      <c r="W356" s="304">
        <f t="shared" ca="1" si="149"/>
        <v>146.06001593534194</v>
      </c>
      <c r="Y356" s="314" t="str">
        <f t="shared" ca="1" si="167"/>
        <v/>
      </c>
      <c r="Z356" s="315" t="str">
        <f t="shared" ca="1" si="168"/>
        <v/>
      </c>
      <c r="AA356" s="316" t="str">
        <f t="shared" ca="1" si="169"/>
        <v/>
      </c>
      <c r="AC356" s="310" t="e">
        <f t="shared" ca="1" si="170"/>
        <v>#N/A</v>
      </c>
      <c r="AD356" s="323" t="e">
        <f t="shared" ca="1" si="171"/>
        <v>#N/A</v>
      </c>
      <c r="AE356" s="324">
        <f t="shared" ca="1" si="150"/>
        <v>525.09800455413438</v>
      </c>
      <c r="AG356" s="306">
        <f t="shared" ca="1" si="172"/>
        <v>-26.741901521708201</v>
      </c>
      <c r="AH356" s="304">
        <f t="shared" ca="1" si="173"/>
        <v>-16.993505868740698</v>
      </c>
    </row>
    <row r="357" spans="1:34" x14ac:dyDescent="0.2">
      <c r="A357" s="347">
        <f t="shared" ca="1" si="151"/>
        <v>0.01</v>
      </c>
      <c r="B357" s="304">
        <f t="shared" ca="1" si="152"/>
        <v>3.5299999999999687</v>
      </c>
      <c r="D357" s="306">
        <f t="shared" ca="1" si="153"/>
        <v>-1.9971511256400096</v>
      </c>
      <c r="E357" s="307">
        <f t="shared" ca="1" si="154"/>
        <v>-27.539113842407019</v>
      </c>
      <c r="F357" s="304">
        <f t="shared" ca="1" si="155"/>
        <v>27.611436106144478</v>
      </c>
      <c r="G357" s="306">
        <f t="shared" ca="1" si="156"/>
        <v>25.95101976593924</v>
      </c>
      <c r="H357" s="307">
        <f t="shared" ca="1" si="157"/>
        <v>230.27434295143203</v>
      </c>
      <c r="I357" s="304">
        <f t="shared" ca="1" si="158"/>
        <v>231.73201860900861</v>
      </c>
      <c r="J357" s="306">
        <f t="shared" ca="1" si="159"/>
        <v>55.817558676322726</v>
      </c>
      <c r="K357" s="307">
        <f t="shared" ca="1" si="160"/>
        <v>527.40212493934087</v>
      </c>
      <c r="L357" s="304">
        <f t="shared" ca="1" si="145"/>
        <v>530.34762302391516</v>
      </c>
      <c r="M357" s="306">
        <f t="shared" ca="1" si="161"/>
        <v>1.4585737220979245</v>
      </c>
      <c r="N357" s="304">
        <f t="shared" ca="1" si="162"/>
        <v>83.570118384898493</v>
      </c>
      <c r="P357" s="310">
        <f t="shared" ca="1" si="163"/>
        <v>10</v>
      </c>
      <c r="Q357" s="304">
        <f t="shared" ca="1" si="164"/>
        <v>36.291666666684094</v>
      </c>
      <c r="R357" s="306">
        <f t="shared" ca="1" si="165"/>
        <v>1.8213096608814094E-2</v>
      </c>
      <c r="S357" s="307">
        <f t="shared" ca="1" si="166"/>
        <v>6.1525043626753151</v>
      </c>
      <c r="T357" s="304">
        <f t="shared" ca="1" si="146"/>
        <v>60.356067797844844</v>
      </c>
      <c r="U357" s="311">
        <f t="shared" ca="1" si="147"/>
        <v>0</v>
      </c>
      <c r="V357" s="306">
        <f t="shared" ca="1" si="148"/>
        <v>1.1620531546935726</v>
      </c>
      <c r="W357" s="304">
        <f t="shared" ca="1" si="149"/>
        <v>145.6792502391034</v>
      </c>
      <c r="Y357" s="314" t="str">
        <f t="shared" ca="1" si="167"/>
        <v/>
      </c>
      <c r="Z357" s="315" t="str">
        <f t="shared" ca="1" si="168"/>
        <v/>
      </c>
      <c r="AA357" s="316" t="str">
        <f t="shared" ca="1" si="169"/>
        <v/>
      </c>
      <c r="AC357" s="310" t="e">
        <f t="shared" ca="1" si="170"/>
        <v>#N/A</v>
      </c>
      <c r="AD357" s="323" t="e">
        <f t="shared" ca="1" si="171"/>
        <v>#N/A</v>
      </c>
      <c r="AE357" s="324">
        <f t="shared" ca="1" si="150"/>
        <v>527.40212493934087</v>
      </c>
      <c r="AG357" s="306">
        <f t="shared" ca="1" si="172"/>
        <v>-27.589590589883713</v>
      </c>
      <c r="AH357" s="304">
        <f t="shared" ca="1" si="173"/>
        <v>-17.841246880632344</v>
      </c>
    </row>
    <row r="358" spans="1:34" x14ac:dyDescent="0.2">
      <c r="A358" s="347">
        <f t="shared" ca="1" si="151"/>
        <v>0.01</v>
      </c>
      <c r="B358" s="304">
        <f t="shared" ca="1" si="152"/>
        <v>3.5399999999999685</v>
      </c>
      <c r="D358" s="306">
        <f t="shared" ca="1" si="153"/>
        <v>-2.0927402480340671</v>
      </c>
      <c r="E358" s="307">
        <f t="shared" ca="1" si="154"/>
        <v>-28.37976681188313</v>
      </c>
      <c r="F358" s="304">
        <f t="shared" ca="1" si="155"/>
        <v>28.456822135344012</v>
      </c>
      <c r="G358" s="306">
        <f t="shared" ca="1" si="156"/>
        <v>25.9300923634589</v>
      </c>
      <c r="H358" s="307">
        <f t="shared" ca="1" si="157"/>
        <v>229.9905452833132</v>
      </c>
      <c r="I358" s="304">
        <f t="shared" ca="1" si="158"/>
        <v>231.44766278727735</v>
      </c>
      <c r="J358" s="306">
        <f t="shared" ca="1" si="159"/>
        <v>56.076964236969715</v>
      </c>
      <c r="K358" s="307">
        <f t="shared" ca="1" si="160"/>
        <v>529.7034493805146</v>
      </c>
      <c r="L358" s="304">
        <f t="shared" ca="1" si="145"/>
        <v>532.66346805806927</v>
      </c>
      <c r="M358" s="306">
        <f t="shared" ca="1" si="161"/>
        <v>1.4585262558840557</v>
      </c>
      <c r="N358" s="304">
        <f t="shared" ca="1" si="162"/>
        <v>83.567398771174339</v>
      </c>
      <c r="P358" s="310">
        <f t="shared" ca="1" si="163"/>
        <v>10</v>
      </c>
      <c r="Q358" s="304">
        <f t="shared" ca="1" si="164"/>
        <v>30.708333333350872</v>
      </c>
      <c r="R358" s="306">
        <f t="shared" ca="1" si="165"/>
        <v>1.5411081745921019E-2</v>
      </c>
      <c r="S358" s="307">
        <f t="shared" ca="1" si="166"/>
        <v>6.1523502518578557</v>
      </c>
      <c r="T358" s="304">
        <f t="shared" ca="1" si="146"/>
        <v>60.354555970725571</v>
      </c>
      <c r="U358" s="311">
        <f t="shared" ca="1" si="147"/>
        <v>0</v>
      </c>
      <c r="V358" s="306">
        <f t="shared" ca="1" si="148"/>
        <v>1.1617855724666388</v>
      </c>
      <c r="W358" s="304">
        <f t="shared" ca="1" si="149"/>
        <v>145.28848395541971</v>
      </c>
      <c r="Y358" s="314" t="str">
        <f t="shared" ca="1" si="167"/>
        <v/>
      </c>
      <c r="Z358" s="315" t="str">
        <f t="shared" ca="1" si="168"/>
        <v/>
      </c>
      <c r="AA358" s="316" t="str">
        <f t="shared" ca="1" si="169"/>
        <v/>
      </c>
      <c r="AC358" s="310" t="e">
        <f t="shared" ca="1" si="170"/>
        <v>#N/A</v>
      </c>
      <c r="AD358" s="323" t="e">
        <f t="shared" ca="1" si="171"/>
        <v>#N/A</v>
      </c>
      <c r="AE358" s="324">
        <f t="shared" ca="1" si="150"/>
        <v>529.7034493805146</v>
      </c>
      <c r="AG358" s="306">
        <f t="shared" ca="1" si="172"/>
        <v>-28.43560824618298</v>
      </c>
      <c r="AH358" s="304">
        <f t="shared" ca="1" si="173"/>
        <v>-18.687316586215843</v>
      </c>
    </row>
    <row r="359" spans="1:34" x14ac:dyDescent="0.2">
      <c r="A359" s="347">
        <f t="shared" ca="1" si="151"/>
        <v>0.01</v>
      </c>
      <c r="B359" s="304">
        <f t="shared" ca="1" si="152"/>
        <v>3.5499999999999683</v>
      </c>
      <c r="D359" s="306">
        <f t="shared" ca="1" si="153"/>
        <v>-2.1882232332377831</v>
      </c>
      <c r="E359" s="307">
        <f t="shared" ca="1" si="154"/>
        <v>-29.218749014839197</v>
      </c>
      <c r="F359" s="304">
        <f t="shared" ca="1" si="155"/>
        <v>29.300573627672346</v>
      </c>
      <c r="G359" s="306">
        <f t="shared" ca="1" si="156"/>
        <v>25.908210131126523</v>
      </c>
      <c r="H359" s="307">
        <f t="shared" ca="1" si="157"/>
        <v>229.6983577931648</v>
      </c>
      <c r="I359" s="304">
        <f t="shared" ca="1" si="158"/>
        <v>231.15486351161934</v>
      </c>
      <c r="J359" s="306">
        <f t="shared" ca="1" si="159"/>
        <v>56.336155749442639</v>
      </c>
      <c r="K359" s="307">
        <f t="shared" ca="1" si="160"/>
        <v>532.00189389589696</v>
      </c>
      <c r="L359" s="304">
        <f t="shared" ca="1" si="145"/>
        <v>534.976427100715</v>
      </c>
      <c r="M359" s="306">
        <f t="shared" ca="1" si="161"/>
        <v>1.458478709528219</v>
      </c>
      <c r="N359" s="304">
        <f t="shared" ca="1" si="162"/>
        <v>83.564674565653675</v>
      </c>
      <c r="P359" s="310">
        <f t="shared" ca="1" si="163"/>
        <v>10</v>
      </c>
      <c r="Q359" s="304">
        <f t="shared" ca="1" si="164"/>
        <v>25.125000000017643</v>
      </c>
      <c r="R359" s="306">
        <f t="shared" ca="1" si="165"/>
        <v>1.2609066883027941E-2</v>
      </c>
      <c r="S359" s="307">
        <f t="shared" ca="1" si="166"/>
        <v>6.1522241611890252</v>
      </c>
      <c r="T359" s="304">
        <f t="shared" ca="1" si="146"/>
        <v>60.35331902126434</v>
      </c>
      <c r="U359" s="311">
        <f t="shared" ca="1" si="147"/>
        <v>0</v>
      </c>
      <c r="V359" s="306">
        <f t="shared" ca="1" si="148"/>
        <v>1.161518384968957</v>
      </c>
      <c r="W359" s="304">
        <f t="shared" ca="1" si="149"/>
        <v>144.88778507331847</v>
      </c>
      <c r="Y359" s="314" t="str">
        <f t="shared" ca="1" si="167"/>
        <v/>
      </c>
      <c r="Z359" s="315" t="str">
        <f t="shared" ca="1" si="168"/>
        <v/>
      </c>
      <c r="AA359" s="316" t="str">
        <f t="shared" ca="1" si="169"/>
        <v/>
      </c>
      <c r="AC359" s="310" t="e">
        <f t="shared" ca="1" si="170"/>
        <v>#N/A</v>
      </c>
      <c r="AD359" s="323" t="e">
        <f t="shared" ca="1" si="171"/>
        <v>#N/A</v>
      </c>
      <c r="AE359" s="324">
        <f t="shared" ca="1" si="150"/>
        <v>532.00189389589696</v>
      </c>
      <c r="AG359" s="306">
        <f t="shared" ca="1" si="172"/>
        <v>-29.279953693882703</v>
      </c>
      <c r="AH359" s="304">
        <f t="shared" ca="1" si="173"/>
        <v>-19.531714191015165</v>
      </c>
    </row>
    <row r="360" spans="1:34" x14ac:dyDescent="0.2">
      <c r="A360" s="347">
        <f t="shared" ca="1" si="151"/>
        <v>0.01</v>
      </c>
      <c r="B360" s="304">
        <f t="shared" ca="1" si="152"/>
        <v>3.5599999999999681</v>
      </c>
      <c r="D360" s="306">
        <f t="shared" ca="1" si="153"/>
        <v>-2.2836000144768804</v>
      </c>
      <c r="E360" s="307">
        <f t="shared" ca="1" si="154"/>
        <v>-30.056059860059456</v>
      </c>
      <c r="F360" s="304">
        <f t="shared" ca="1" si="155"/>
        <v>30.142686730575228</v>
      </c>
      <c r="G360" s="306">
        <f t="shared" ca="1" si="156"/>
        <v>25.885374130981756</v>
      </c>
      <c r="H360" s="307">
        <f t="shared" ca="1" si="157"/>
        <v>229.39779719456422</v>
      </c>
      <c r="I360" s="304">
        <f t="shared" ca="1" si="158"/>
        <v>230.85363751004513</v>
      </c>
      <c r="J360" s="306">
        <f t="shared" ca="1" si="159"/>
        <v>56.595123670753182</v>
      </c>
      <c r="K360" s="307">
        <f t="shared" ca="1" si="160"/>
        <v>534.29737467083555</v>
      </c>
      <c r="L360" s="304">
        <f t="shared" ca="1" si="145"/>
        <v>537.28641580022759</v>
      </c>
      <c r="M360" s="306">
        <f t="shared" ca="1" si="161"/>
        <v>1.4584310810549028</v>
      </c>
      <c r="N360" s="304">
        <f t="shared" ca="1" si="162"/>
        <v>83.561945655148008</v>
      </c>
      <c r="P360" s="310">
        <f t="shared" ca="1" si="163"/>
        <v>10</v>
      </c>
      <c r="Q360" s="304">
        <f t="shared" ca="1" si="164"/>
        <v>19.541666666684407</v>
      </c>
      <c r="R360" s="306">
        <f t="shared" ca="1" si="165"/>
        <v>9.8070520201348592E-3</v>
      </c>
      <c r="S360" s="307">
        <f t="shared" ca="1" si="166"/>
        <v>6.1521260906688235</v>
      </c>
      <c r="T360" s="304">
        <f t="shared" ca="1" si="146"/>
        <v>60.352356949461161</v>
      </c>
      <c r="U360" s="311">
        <f t="shared" ca="1" si="147"/>
        <v>0</v>
      </c>
      <c r="V360" s="306">
        <f t="shared" ca="1" si="148"/>
        <v>1.1612516016955012</v>
      </c>
      <c r="W360" s="304">
        <f t="shared" ca="1" si="149"/>
        <v>144.47722255283881</v>
      </c>
      <c r="Y360" s="314" t="str">
        <f t="shared" ca="1" si="167"/>
        <v/>
      </c>
      <c r="Z360" s="315" t="str">
        <f t="shared" ca="1" si="168"/>
        <v/>
      </c>
      <c r="AA360" s="316" t="str">
        <f t="shared" ca="1" si="169"/>
        <v/>
      </c>
      <c r="AC360" s="310" t="e">
        <f t="shared" ca="1" si="170"/>
        <v>#N/A</v>
      </c>
      <c r="AD360" s="323" t="e">
        <f t="shared" ca="1" si="171"/>
        <v>#N/A</v>
      </c>
      <c r="AE360" s="324">
        <f t="shared" ca="1" si="150"/>
        <v>534.29737467083555</v>
      </c>
      <c r="AG360" s="306">
        <f t="shared" ca="1" si="172"/>
        <v>-30.122626341665626</v>
      </c>
      <c r="AH360" s="304">
        <f t="shared" ca="1" si="173"/>
        <v>-20.374439105978588</v>
      </c>
    </row>
    <row r="361" spans="1:34" x14ac:dyDescent="0.2">
      <c r="A361" s="347">
        <f t="shared" ca="1" si="151"/>
        <v>0.01</v>
      </c>
      <c r="B361" s="304">
        <f t="shared" ca="1" si="152"/>
        <v>3.5699999999999679</v>
      </c>
      <c r="D361" s="306">
        <f t="shared" ca="1" si="153"/>
        <v>-2.3788705537477655</v>
      </c>
      <c r="E361" s="307">
        <f t="shared" ca="1" si="154"/>
        <v>-30.891698957852917</v>
      </c>
      <c r="F361" s="304">
        <f t="shared" ca="1" si="155"/>
        <v>30.983158160750804</v>
      </c>
      <c r="G361" s="306">
        <f t="shared" ca="1" si="156"/>
        <v>25.861585425444279</v>
      </c>
      <c r="H361" s="307">
        <f t="shared" ca="1" si="157"/>
        <v>229.08888020498568</v>
      </c>
      <c r="I361" s="304">
        <f t="shared" ca="1" si="158"/>
        <v>230.54400151444372</v>
      </c>
      <c r="J361" s="306">
        <f t="shared" ca="1" si="159"/>
        <v>56.853858468535314</v>
      </c>
      <c r="K361" s="307">
        <f t="shared" ca="1" si="160"/>
        <v>536.58980805783335</v>
      </c>
      <c r="L361" s="304">
        <f t="shared" ca="1" si="145"/>
        <v>539.59334997227552</v>
      </c>
      <c r="M361" s="306">
        <f t="shared" ca="1" si="161"/>
        <v>1.4583833684744749</v>
      </c>
      <c r="N361" s="304">
        <f t="shared" ca="1" si="162"/>
        <v>83.55921192565981</v>
      </c>
      <c r="P361" s="310">
        <f t="shared" ca="1" si="163"/>
        <v>10</v>
      </c>
      <c r="Q361" s="304">
        <f t="shared" ca="1" si="164"/>
        <v>13.958333333351177</v>
      </c>
      <c r="R361" s="306">
        <f t="shared" ca="1" si="165"/>
        <v>7.0050371572417808E-3</v>
      </c>
      <c r="S361" s="307">
        <f t="shared" ca="1" si="166"/>
        <v>6.1520560402972508</v>
      </c>
      <c r="T361" s="304">
        <f t="shared" ca="1" si="146"/>
        <v>60.351669755316031</v>
      </c>
      <c r="U361" s="311">
        <f t="shared" ca="1" si="147"/>
        <v>0</v>
      </c>
      <c r="V361" s="306">
        <f t="shared" ca="1" si="148"/>
        <v>1.1609852321135679</v>
      </c>
      <c r="W361" s="304">
        <f t="shared" ca="1" si="149"/>
        <v>144.05686631300387</v>
      </c>
      <c r="Y361" s="314" t="str">
        <f t="shared" ca="1" si="167"/>
        <v/>
      </c>
      <c r="Z361" s="315" t="str">
        <f t="shared" ca="1" si="168"/>
        <v/>
      </c>
      <c r="AA361" s="316" t="str">
        <f t="shared" ca="1" si="169"/>
        <v/>
      </c>
      <c r="AC361" s="310" t="e">
        <f t="shared" ca="1" si="170"/>
        <v>#N/A</v>
      </c>
      <c r="AD361" s="323" t="e">
        <f t="shared" ca="1" si="171"/>
        <v>#N/A</v>
      </c>
      <c r="AE361" s="324">
        <f t="shared" ca="1" si="150"/>
        <v>536.58980805783335</v>
      </c>
      <c r="AG361" s="306">
        <f t="shared" ca="1" si="172"/>
        <v>-30.963625801698612</v>
      </c>
      <c r="AH361" s="304">
        <f t="shared" ca="1" si="173"/>
        <v>-21.215490945557331</v>
      </c>
    </row>
    <row r="362" spans="1:34" x14ac:dyDescent="0.2">
      <c r="A362" s="347">
        <f t="shared" ca="1" si="151"/>
        <v>0.01</v>
      </c>
      <c r="B362" s="304">
        <f t="shared" ca="1" si="152"/>
        <v>3.5799999999999677</v>
      </c>
      <c r="D362" s="306">
        <f t="shared" ca="1" si="153"/>
        <v>-2.4740348416845004</v>
      </c>
      <c r="E362" s="307">
        <f t="shared" ca="1" si="154"/>
        <v>-31.725666118133397</v>
      </c>
      <c r="F362" s="304">
        <f t="shared" ca="1" si="155"/>
        <v>31.821985152361979</v>
      </c>
      <c r="G362" s="306">
        <f t="shared" ca="1" si="156"/>
        <v>25.836845077027434</v>
      </c>
      <c r="H362" s="307">
        <f t="shared" ca="1" si="157"/>
        <v>228.77162354380434</v>
      </c>
      <c r="I362" s="304">
        <f t="shared" ca="1" si="158"/>
        <v>230.225972258567</v>
      </c>
      <c r="J362" s="306">
        <f t="shared" ca="1" si="159"/>
        <v>57.112350621047675</v>
      </c>
      <c r="K362" s="307">
        <f t="shared" ca="1" si="160"/>
        <v>538.87911057657732</v>
      </c>
      <c r="L362" s="304">
        <f t="shared" ca="1" si="145"/>
        <v>541.89714559984952</v>
      </c>
      <c r="M362" s="306">
        <f t="shared" ca="1" si="161"/>
        <v>1.458335569782691</v>
      </c>
      <c r="N362" s="304">
        <f t="shared" ca="1" si="162"/>
        <v>83.556473262354345</v>
      </c>
      <c r="P362" s="310">
        <f t="shared" ca="1" si="163"/>
        <v>10</v>
      </c>
      <c r="Q362" s="304">
        <f t="shared" ca="1" si="164"/>
        <v>8.3750000000179483</v>
      </c>
      <c r="R362" s="306">
        <f t="shared" ca="1" si="165"/>
        <v>4.2030222943487032E-3</v>
      </c>
      <c r="S362" s="307">
        <f t="shared" ca="1" si="166"/>
        <v>6.152014010074307</v>
      </c>
      <c r="T362" s="304">
        <f t="shared" ca="1" si="146"/>
        <v>60.351257438828952</v>
      </c>
      <c r="U362" s="311">
        <f t="shared" ca="1" si="147"/>
        <v>0</v>
      </c>
      <c r="V362" s="306">
        <f t="shared" ca="1" si="148"/>
        <v>1.1607192856628312</v>
      </c>
      <c r="W362" s="304">
        <f t="shared" ca="1" si="149"/>
        <v>143.62678721988379</v>
      </c>
      <c r="Y362" s="314" t="str">
        <f t="shared" ca="1" si="167"/>
        <v/>
      </c>
      <c r="Z362" s="315" t="str">
        <f t="shared" ca="1" si="168"/>
        <v/>
      </c>
      <c r="AA362" s="316" t="str">
        <f t="shared" ca="1" si="169"/>
        <v/>
      </c>
      <c r="AC362" s="310" t="e">
        <f t="shared" ca="1" si="170"/>
        <v>#N/A</v>
      </c>
      <c r="AD362" s="323" t="e">
        <f t="shared" ca="1" si="171"/>
        <v>#N/A</v>
      </c>
      <c r="AE362" s="324">
        <f t="shared" ca="1" si="150"/>
        <v>538.87911057657732</v>
      </c>
      <c r="AG362" s="306">
        <f t="shared" ca="1" si="172"/>
        <v>-31.802951887710819</v>
      </c>
      <c r="AH362" s="304">
        <f t="shared" ca="1" si="173"/>
        <v>-22.054869525784301</v>
      </c>
    </row>
    <row r="363" spans="1:34" x14ac:dyDescent="0.2">
      <c r="A363" s="347">
        <f t="shared" ca="1" si="151"/>
        <v>0.01</v>
      </c>
      <c r="B363" s="304">
        <f t="shared" ca="1" si="152"/>
        <v>3.5899999999999674</v>
      </c>
      <c r="D363" s="306">
        <f t="shared" ca="1" si="153"/>
        <v>-2.5690928974277503</v>
      </c>
      <c r="E363" s="307">
        <f t="shared" ca="1" si="154"/>
        <v>-32.557961348499994</v>
      </c>
      <c r="F363" s="304">
        <f t="shared" ca="1" si="155"/>
        <v>32.659165413188887</v>
      </c>
      <c r="G363" s="306">
        <f t="shared" ca="1" si="156"/>
        <v>25.811154148053156</v>
      </c>
      <c r="H363" s="307">
        <f t="shared" ca="1" si="157"/>
        <v>228.44604393031935</v>
      </c>
      <c r="I363" s="304">
        <f t="shared" ca="1" si="158"/>
        <v>229.89956647603307</v>
      </c>
      <c r="J363" s="306">
        <f t="shared" ca="1" si="159"/>
        <v>57.370590617173079</v>
      </c>
      <c r="K363" s="307">
        <f t="shared" ca="1" si="160"/>
        <v>541.16519891394796</v>
      </c>
      <c r="L363" s="304">
        <f t="shared" ca="1" si="145"/>
        <v>544.19771883327121</v>
      </c>
      <c r="M363" s="306">
        <f t="shared" ca="1" si="161"/>
        <v>1.4582876829601945</v>
      </c>
      <c r="N363" s="304">
        <f t="shared" ca="1" si="162"/>
        <v>83.553729549530999</v>
      </c>
      <c r="P363" s="310">
        <f t="shared" ca="1" si="163"/>
        <v>10</v>
      </c>
      <c r="Q363" s="304">
        <f t="shared" ca="1" si="164"/>
        <v>2.7916666666847192</v>
      </c>
      <c r="R363" s="306">
        <f t="shared" ca="1" si="165"/>
        <v>1.4010074314556248E-3</v>
      </c>
      <c r="S363" s="307">
        <f t="shared" ca="1" si="166"/>
        <v>6.1519999999999921</v>
      </c>
      <c r="T363" s="304">
        <f t="shared" ca="1" si="146"/>
        <v>60.351119999999923</v>
      </c>
      <c r="U363" s="311">
        <f t="shared" ca="1" si="147"/>
        <v>0</v>
      </c>
      <c r="V363" s="306">
        <f t="shared" ca="1" si="148"/>
        <v>1.1604537717553984</v>
      </c>
      <c r="W363" s="304">
        <f t="shared" ca="1" si="149"/>
        <v>143.18705707474899</v>
      </c>
      <c r="Y363" s="314" t="str">
        <f t="shared" ca="1" si="167"/>
        <v/>
      </c>
      <c r="Z363" s="315" t="str">
        <f t="shared" ca="1" si="168"/>
        <v/>
      </c>
      <c r="AA363" s="316" t="str">
        <f t="shared" ca="1" si="169"/>
        <v/>
      </c>
      <c r="AC363" s="310" t="e">
        <f t="shared" ca="1" si="170"/>
        <v>#N/A</v>
      </c>
      <c r="AD363" s="323" t="e">
        <f t="shared" ca="1" si="171"/>
        <v>#N/A</v>
      </c>
      <c r="AE363" s="324">
        <f t="shared" ca="1" si="150"/>
        <v>541.16519891394796</v>
      </c>
      <c r="AG363" s="306">
        <f t="shared" ca="1" si="172"/>
        <v>-32.640604613072597</v>
      </c>
      <c r="AH363" s="304">
        <f t="shared" ca="1" si="173"/>
        <v>-22.892574862353587</v>
      </c>
    </row>
    <row r="364" spans="1:34" x14ac:dyDescent="0.2">
      <c r="A364" s="347">
        <f t="shared" ca="1" si="151"/>
        <v>0.01</v>
      </c>
      <c r="B364" s="304">
        <f t="shared" ca="1" si="152"/>
        <v>3.5999999999999672</v>
      </c>
      <c r="D364" s="306">
        <f t="shared" ca="1" si="153"/>
        <v>-2.613104082833333</v>
      </c>
      <c r="E364" s="307">
        <f t="shared" ca="1" si="154"/>
        <v>-32.937725582409378</v>
      </c>
      <c r="F364" s="304">
        <f t="shared" ca="1" si="155"/>
        <v>33.041217887508708</v>
      </c>
      <c r="G364" s="306">
        <f t="shared" ca="1" si="156"/>
        <v>25.785023107224823</v>
      </c>
      <c r="H364" s="307">
        <f t="shared" ca="1" si="157"/>
        <v>228.11666667449526</v>
      </c>
      <c r="I364" s="304">
        <f t="shared" ca="1" si="158"/>
        <v>229.5693381776471</v>
      </c>
      <c r="J364" s="306">
        <f t="shared" ca="1" si="159"/>
        <v>57.628571503449471</v>
      </c>
      <c r="K364" s="307">
        <f t="shared" ca="1" si="160"/>
        <v>543.44801246697205</v>
      </c>
      <c r="L364" s="304">
        <f t="shared" ca="1" si="145"/>
        <v>546.4950086760449</v>
      </c>
      <c r="M364" s="306">
        <f t="shared" ca="1" si="161"/>
        <v>1.4582397069202389</v>
      </c>
      <c r="N364" s="304">
        <f t="shared" ca="1" si="162"/>
        <v>83.550980724923789</v>
      </c>
      <c r="P364" s="310">
        <f t="shared" ca="1" si="163"/>
        <v>23</v>
      </c>
      <c r="Q364" s="304">
        <f t="shared" ca="1" si="164"/>
        <v>0</v>
      </c>
      <c r="R364" s="306">
        <f t="shared" ca="1" si="165"/>
        <v>0</v>
      </c>
      <c r="S364" s="307">
        <f t="shared" ca="1" si="166"/>
        <v>6.1519999999999921</v>
      </c>
      <c r="T364" s="304">
        <f t="shared" ca="1" si="146"/>
        <v>60.351119999999923</v>
      </c>
      <c r="U364" s="311">
        <f t="shared" ca="1" si="147"/>
        <v>0</v>
      </c>
      <c r="V364" s="306">
        <f t="shared" ca="1" si="148"/>
        <v>1.1601886971585258</v>
      </c>
      <c r="W364" s="304">
        <f t="shared" ca="1" si="149"/>
        <v>142.74339067346068</v>
      </c>
      <c r="Y364" s="314" t="str">
        <f t="shared" ca="1" si="167"/>
        <v>Fin de propulsion</v>
      </c>
      <c r="Z364" s="315" t="str">
        <f t="shared" ca="1" si="168"/>
        <v/>
      </c>
      <c r="AA364" s="316" t="str">
        <f t="shared" ca="1" si="169"/>
        <v/>
      </c>
      <c r="AC364" s="310" t="e">
        <f t="shared" ca="1" si="170"/>
        <v>#N/A</v>
      </c>
      <c r="AD364" s="323" t="e">
        <f t="shared" ca="1" si="171"/>
        <v>#N/A</v>
      </c>
      <c r="AE364" s="324">
        <f t="shared" ca="1" si="150"/>
        <v>543.44801246697205</v>
      </c>
      <c r="AG364" s="306">
        <f t="shared" ca="1" si="172"/>
        <v>-33.022856258592689</v>
      </c>
      <c r="AH364" s="304">
        <f t="shared" ca="1" si="173"/>
        <v>-23.274879238418265</v>
      </c>
    </row>
    <row r="365" spans="1:34" x14ac:dyDescent="0.2">
      <c r="A365" s="347">
        <f t="shared" ca="1" si="151"/>
        <v>0.01</v>
      </c>
      <c r="B365" s="304">
        <f t="shared" ca="1" si="152"/>
        <v>3.609999999999967</v>
      </c>
      <c r="D365" s="306">
        <f t="shared" ca="1" si="153"/>
        <v>-2.6061134916727746</v>
      </c>
      <c r="E365" s="307">
        <f t="shared" ca="1" si="154"/>
        <v>-32.865939109445613</v>
      </c>
      <c r="F365" s="304">
        <f t="shared" ca="1" si="155"/>
        <v>32.969103431504863</v>
      </c>
      <c r="G365" s="306">
        <f t="shared" ca="1" si="156"/>
        <v>25.758961972308096</v>
      </c>
      <c r="H365" s="307">
        <f t="shared" ca="1" si="157"/>
        <v>227.78800728340082</v>
      </c>
      <c r="I365" s="304">
        <f t="shared" ca="1" si="158"/>
        <v>229.23983158263198</v>
      </c>
      <c r="J365" s="306">
        <f t="shared" ca="1" si="159"/>
        <v>57.886291428847137</v>
      </c>
      <c r="K365" s="307">
        <f t="shared" ca="1" si="160"/>
        <v>545.72753583676149</v>
      </c>
      <c r="L365" s="304">
        <f t="shared" ca="1" si="145"/>
        <v>548.7889996217574</v>
      </c>
      <c r="M365" s="306">
        <f t="shared" ca="1" si="161"/>
        <v>1.4581916415192759</v>
      </c>
      <c r="N365" s="304">
        <f t="shared" ca="1" si="162"/>
        <v>83.548226780308013</v>
      </c>
      <c r="P365" s="310">
        <f t="shared" ca="1" si="163"/>
        <v>23</v>
      </c>
      <c r="Q365" s="304">
        <f t="shared" ca="1" si="164"/>
        <v>0</v>
      </c>
      <c r="R365" s="306">
        <f t="shared" ca="1" si="165"/>
        <v>0</v>
      </c>
      <c r="S365" s="307">
        <f t="shared" ca="1" si="166"/>
        <v>6.1519999999999921</v>
      </c>
      <c r="T365" s="304">
        <f t="shared" ca="1" si="146"/>
        <v>60.351119999999923</v>
      </c>
      <c r="U365" s="311">
        <f t="shared" ca="1" si="147"/>
        <v>0</v>
      </c>
      <c r="V365" s="306">
        <f t="shared" ca="1" si="148"/>
        <v>1.159924063386514</v>
      </c>
      <c r="W365" s="304">
        <f t="shared" ca="1" si="149"/>
        <v>142.30145273165715</v>
      </c>
      <c r="Y365" s="314" t="str">
        <f t="shared" ca="1" si="167"/>
        <v/>
      </c>
      <c r="Z365" s="315" t="str">
        <f t="shared" ca="1" si="168"/>
        <v/>
      </c>
      <c r="AA365" s="316" t="str">
        <f t="shared" ca="1" si="169"/>
        <v/>
      </c>
      <c r="AC365" s="310" t="e">
        <f t="shared" ca="1" si="170"/>
        <v>#N/A</v>
      </c>
      <c r="AD365" s="323" t="e">
        <f t="shared" ca="1" si="171"/>
        <v>#N/A</v>
      </c>
      <c r="AE365" s="324">
        <f t="shared" ca="1" si="150"/>
        <v>545.72753583676149</v>
      </c>
      <c r="AG365" s="306">
        <f t="shared" ca="1" si="172"/>
        <v>-32.950685981953306</v>
      </c>
      <c r="AH365" s="304">
        <f t="shared" ca="1" si="173"/>
        <v>-23.202761812981283</v>
      </c>
    </row>
    <row r="366" spans="1:34" x14ac:dyDescent="0.2">
      <c r="A366" s="347">
        <f t="shared" ca="1" si="151"/>
        <v>0.01</v>
      </c>
      <c r="B366" s="304">
        <f t="shared" ca="1" si="152"/>
        <v>3.6199999999999668</v>
      </c>
      <c r="D366" s="306">
        <f t="shared" ca="1" si="153"/>
        <v>-2.599149642848928</v>
      </c>
      <c r="E366" s="307">
        <f t="shared" ca="1" si="154"/>
        <v>-32.794432307963454</v>
      </c>
      <c r="F366" s="304">
        <f t="shared" ca="1" si="155"/>
        <v>32.897269936387104</v>
      </c>
      <c r="G366" s="306">
        <f t="shared" ca="1" si="156"/>
        <v>25.732970475879608</v>
      </c>
      <c r="H366" s="307">
        <f t="shared" ca="1" si="157"/>
        <v>227.46006296032118</v>
      </c>
      <c r="I366" s="304">
        <f t="shared" ca="1" si="158"/>
        <v>228.91104388260905</v>
      </c>
      <c r="J366" s="306">
        <f t="shared" ca="1" si="159"/>
        <v>58.143751091088077</v>
      </c>
      <c r="K366" s="307">
        <f t="shared" ca="1" si="160"/>
        <v>548.00377618798007</v>
      </c>
      <c r="L366" s="304">
        <f t="shared" ca="1" si="145"/>
        <v>551.07969887052468</v>
      </c>
      <c r="M366" s="306">
        <f t="shared" ca="1" si="161"/>
        <v>1.4581434866133316</v>
      </c>
      <c r="N366" s="304">
        <f t="shared" ca="1" si="162"/>
        <v>83.545467707434554</v>
      </c>
      <c r="P366" s="310">
        <f t="shared" ca="1" si="163"/>
        <v>23</v>
      </c>
      <c r="Q366" s="304">
        <f t="shared" ca="1" si="164"/>
        <v>0</v>
      </c>
      <c r="R366" s="306">
        <f t="shared" ca="1" si="165"/>
        <v>0</v>
      </c>
      <c r="S366" s="307">
        <f t="shared" ca="1" si="166"/>
        <v>6.1519999999999921</v>
      </c>
      <c r="T366" s="304">
        <f t="shared" ca="1" si="146"/>
        <v>60.351119999999923</v>
      </c>
      <c r="U366" s="311">
        <f t="shared" ca="1" si="147"/>
        <v>0</v>
      </c>
      <c r="V366" s="306">
        <f t="shared" ca="1" si="148"/>
        <v>1.1596598693340503</v>
      </c>
      <c r="W366" s="304">
        <f t="shared" ca="1" si="149"/>
        <v>141.8612342862433</v>
      </c>
      <c r="Y366" s="314" t="str">
        <f t="shared" ca="1" si="167"/>
        <v/>
      </c>
      <c r="Z366" s="315" t="str">
        <f t="shared" ca="1" si="168"/>
        <v/>
      </c>
      <c r="AA366" s="316" t="str">
        <f t="shared" ca="1" si="169"/>
        <v/>
      </c>
      <c r="AC366" s="310" t="e">
        <f t="shared" ca="1" si="170"/>
        <v>#N/A</v>
      </c>
      <c r="AD366" s="323" t="e">
        <f t="shared" ca="1" si="171"/>
        <v>#N/A</v>
      </c>
      <c r="AE366" s="324">
        <f t="shared" ca="1" si="150"/>
        <v>548.00377618798007</v>
      </c>
      <c r="AG366" s="306">
        <f t="shared" ca="1" si="172"/>
        <v>-32.8787965433268</v>
      </c>
      <c r="AH366" s="304">
        <f t="shared" ca="1" si="173"/>
        <v>-23.130925346498266</v>
      </c>
    </row>
    <row r="367" spans="1:34" x14ac:dyDescent="0.2">
      <c r="A367" s="347">
        <f t="shared" ca="1" si="151"/>
        <v>0.01</v>
      </c>
      <c r="B367" s="304">
        <f t="shared" ca="1" si="152"/>
        <v>3.6299999999999666</v>
      </c>
      <c r="D367" s="306">
        <f t="shared" ca="1" si="153"/>
        <v>-2.5922123970195616</v>
      </c>
      <c r="E367" s="307">
        <f t="shared" ca="1" si="154"/>
        <v>-32.723203727695193</v>
      </c>
      <c r="F367" s="304">
        <f t="shared" ca="1" si="155"/>
        <v>32.825715945208366</v>
      </c>
      <c r="G367" s="306">
        <f t="shared" ca="1" si="156"/>
        <v>25.70704835190941</v>
      </c>
      <c r="H367" s="307">
        <f t="shared" ca="1" si="157"/>
        <v>227.13283092304422</v>
      </c>
      <c r="I367" s="304">
        <f t="shared" ca="1" si="158"/>
        <v>228.58297228377185</v>
      </c>
      <c r="J367" s="306">
        <f t="shared" ca="1" si="159"/>
        <v>58.400951185227022</v>
      </c>
      <c r="K367" s="307">
        <f t="shared" ca="1" si="160"/>
        <v>550.27674065739689</v>
      </c>
      <c r="L367" s="304">
        <f t="shared" ca="1" si="145"/>
        <v>553.36711359446304</v>
      </c>
      <c r="M367" s="306">
        <f t="shared" ca="1" si="161"/>
        <v>1.4580952420580042</v>
      </c>
      <c r="N367" s="304">
        <f t="shared" ca="1" si="162"/>
        <v>83.542703498029809</v>
      </c>
      <c r="P367" s="310">
        <f t="shared" ca="1" si="163"/>
        <v>23</v>
      </c>
      <c r="Q367" s="304">
        <f t="shared" ca="1" si="164"/>
        <v>0</v>
      </c>
      <c r="R367" s="306">
        <f t="shared" ca="1" si="165"/>
        <v>0</v>
      </c>
      <c r="S367" s="307">
        <f t="shared" ca="1" si="166"/>
        <v>6.1519999999999921</v>
      </c>
      <c r="T367" s="304">
        <f t="shared" ca="1" si="146"/>
        <v>60.351119999999923</v>
      </c>
      <c r="U367" s="311">
        <f t="shared" ca="1" si="147"/>
        <v>0</v>
      </c>
      <c r="V367" s="306">
        <f t="shared" ca="1" si="148"/>
        <v>1.1593961139003377</v>
      </c>
      <c r="W367" s="304">
        <f t="shared" ca="1" si="149"/>
        <v>141.42272643273469</v>
      </c>
      <c r="Y367" s="314" t="str">
        <f t="shared" ca="1" si="167"/>
        <v/>
      </c>
      <c r="Z367" s="315" t="str">
        <f t="shared" ca="1" si="168"/>
        <v/>
      </c>
      <c r="AA367" s="316" t="str">
        <f t="shared" ca="1" si="169"/>
        <v/>
      </c>
      <c r="AC367" s="310" t="e">
        <f t="shared" ca="1" si="170"/>
        <v>#N/A</v>
      </c>
      <c r="AD367" s="323" t="e">
        <f t="shared" ca="1" si="171"/>
        <v>#N/A</v>
      </c>
      <c r="AE367" s="324">
        <f t="shared" ca="1" si="150"/>
        <v>550.27674065739689</v>
      </c>
      <c r="AG367" s="306">
        <f t="shared" ca="1" si="172"/>
        <v>-32.807186485488856</v>
      </c>
      <c r="AH367" s="304">
        <f t="shared" ca="1" si="173"/>
        <v>-23.059368382029174</v>
      </c>
    </row>
    <row r="368" spans="1:34" x14ac:dyDescent="0.2">
      <c r="A368" s="347">
        <f t="shared" ca="1" si="151"/>
        <v>0.01</v>
      </c>
      <c r="B368" s="304">
        <f t="shared" ca="1" si="152"/>
        <v>3.6399999999999664</v>
      </c>
      <c r="D368" s="306">
        <f t="shared" ca="1" si="153"/>
        <v>-2.5853016157530222</v>
      </c>
      <c r="E368" s="307">
        <f t="shared" ca="1" si="154"/>
        <v>-32.652251927856568</v>
      </c>
      <c r="F368" s="304">
        <f t="shared" ca="1" si="155"/>
        <v>32.75444001054862</v>
      </c>
      <c r="G368" s="306">
        <f t="shared" ca="1" si="156"/>
        <v>25.68119533575188</v>
      </c>
      <c r="H368" s="307">
        <f t="shared" ca="1" si="157"/>
        <v>226.80630840376566</v>
      </c>
      <c r="I368" s="304">
        <f t="shared" ca="1" si="158"/>
        <v>228.25561400679086</v>
      </c>
      <c r="J368" s="306">
        <f t="shared" ca="1" si="159"/>
        <v>58.657892403665329</v>
      </c>
      <c r="K368" s="307">
        <f t="shared" ca="1" si="160"/>
        <v>552.5464363540309</v>
      </c>
      <c r="L368" s="304">
        <f t="shared" ca="1" si="145"/>
        <v>555.65125093783342</v>
      </c>
      <c r="M368" s="306">
        <f t="shared" ca="1" si="161"/>
        <v>1.4580469077084639</v>
      </c>
      <c r="N368" s="304">
        <f t="shared" ca="1" si="162"/>
        <v>83.539934143795634</v>
      </c>
      <c r="P368" s="310">
        <f t="shared" ca="1" si="163"/>
        <v>23</v>
      </c>
      <c r="Q368" s="304">
        <f t="shared" ca="1" si="164"/>
        <v>0</v>
      </c>
      <c r="R368" s="306">
        <f t="shared" ca="1" si="165"/>
        <v>0</v>
      </c>
      <c r="S368" s="307">
        <f t="shared" ca="1" si="166"/>
        <v>6.1519999999999921</v>
      </c>
      <c r="T368" s="304">
        <f t="shared" ca="1" si="146"/>
        <v>60.351119999999923</v>
      </c>
      <c r="U368" s="311">
        <f t="shared" ca="1" si="147"/>
        <v>0</v>
      </c>
      <c r="V368" s="306">
        <f t="shared" ca="1" si="148"/>
        <v>1.1591327959890734</v>
      </c>
      <c r="W368" s="304">
        <f t="shared" ca="1" si="149"/>
        <v>140.98592032479681</v>
      </c>
      <c r="Y368" s="314" t="str">
        <f t="shared" ca="1" si="167"/>
        <v/>
      </c>
      <c r="Z368" s="315" t="str">
        <f t="shared" ca="1" si="168"/>
        <v/>
      </c>
      <c r="AA368" s="316" t="str">
        <f t="shared" ca="1" si="169"/>
        <v/>
      </c>
      <c r="AC368" s="310" t="e">
        <f t="shared" ca="1" si="170"/>
        <v>#N/A</v>
      </c>
      <c r="AD368" s="323" t="e">
        <f t="shared" ca="1" si="171"/>
        <v>#N/A</v>
      </c>
      <c r="AE368" s="324">
        <f t="shared" ca="1" si="150"/>
        <v>552.5464363540309</v>
      </c>
      <c r="AG368" s="306">
        <f t="shared" ca="1" si="172"/>
        <v>-32.735854360741314</v>
      </c>
      <c r="AH368" s="304">
        <f t="shared" ca="1" si="173"/>
        <v>-22.988089472161064</v>
      </c>
    </row>
    <row r="369" spans="1:34" x14ac:dyDescent="0.2">
      <c r="A369" s="347">
        <f t="shared" ca="1" si="151"/>
        <v>0.01</v>
      </c>
      <c r="B369" s="304">
        <f t="shared" ca="1" si="152"/>
        <v>3.6499999999999662</v>
      </c>
      <c r="D369" s="306">
        <f t="shared" ca="1" si="153"/>
        <v>-2.5784171615210676</v>
      </c>
      <c r="E369" s="307">
        <f t="shared" ca="1" si="154"/>
        <v>-32.581575477072235</v>
      </c>
      <c r="F369" s="304">
        <f t="shared" ca="1" si="155"/>
        <v>32.683440694440073</v>
      </c>
      <c r="G369" s="306">
        <f t="shared" ca="1" si="156"/>
        <v>25.65541116413667</v>
      </c>
      <c r="H369" s="307">
        <f t="shared" ca="1" si="157"/>
        <v>226.48049264899493</v>
      </c>
      <c r="I369" s="304">
        <f t="shared" ca="1" si="158"/>
        <v>227.92896628671917</v>
      </c>
      <c r="J369" s="306">
        <f t="shared" ca="1" si="159"/>
        <v>58.914575436164775</v>
      </c>
      <c r="K369" s="307">
        <f t="shared" ca="1" si="160"/>
        <v>554.81287035929472</v>
      </c>
      <c r="L369" s="304">
        <f t="shared" ca="1" si="145"/>
        <v>557.93211801718599</v>
      </c>
      <c r="M369" s="306">
        <f t="shared" ca="1" si="161"/>
        <v>1.4579984834194513</v>
      </c>
      <c r="N369" s="304">
        <f t="shared" ca="1" si="162"/>
        <v>83.537159636409299</v>
      </c>
      <c r="P369" s="310">
        <f t="shared" ca="1" si="163"/>
        <v>23</v>
      </c>
      <c r="Q369" s="304">
        <f t="shared" ca="1" si="164"/>
        <v>0</v>
      </c>
      <c r="R369" s="306">
        <f t="shared" ca="1" si="165"/>
        <v>0</v>
      </c>
      <c r="S369" s="307">
        <f t="shared" ca="1" si="166"/>
        <v>6.1519999999999921</v>
      </c>
      <c r="T369" s="304">
        <f t="shared" ca="1" si="146"/>
        <v>60.351119999999923</v>
      </c>
      <c r="U369" s="311">
        <f t="shared" ca="1" si="147"/>
        <v>0</v>
      </c>
      <c r="V369" s="306">
        <f t="shared" ca="1" si="148"/>
        <v>1.1588699145084207</v>
      </c>
      <c r="W369" s="304">
        <f t="shared" ca="1" si="149"/>
        <v>140.55080717378758</v>
      </c>
      <c r="Y369" s="314" t="str">
        <f t="shared" ca="1" si="167"/>
        <v/>
      </c>
      <c r="Z369" s="315" t="str">
        <f t="shared" ca="1" si="168"/>
        <v/>
      </c>
      <c r="AA369" s="316" t="str">
        <f t="shared" ca="1" si="169"/>
        <v/>
      </c>
      <c r="AC369" s="310" t="e">
        <f t="shared" ca="1" si="170"/>
        <v>#N/A</v>
      </c>
      <c r="AD369" s="323" t="e">
        <f t="shared" ca="1" si="171"/>
        <v>#N/A</v>
      </c>
      <c r="AE369" s="324">
        <f t="shared" ca="1" si="150"/>
        <v>554.81287035929472</v>
      </c>
      <c r="AG369" s="306">
        <f t="shared" ca="1" si="172"/>
        <v>-32.664798730837212</v>
      </c>
      <c r="AH369" s="304">
        <f t="shared" ca="1" si="173"/>
        <v>-22.91708717893319</v>
      </c>
    </row>
    <row r="370" spans="1:34" x14ac:dyDescent="0.2">
      <c r="A370" s="347">
        <f t="shared" ca="1" si="151"/>
        <v>0.01</v>
      </c>
      <c r="B370" s="304">
        <f t="shared" ca="1" si="152"/>
        <v>3.6599999999999659</v>
      </c>
      <c r="D370" s="306">
        <f t="shared" ca="1" si="153"/>
        <v>-2.5715588976917534</v>
      </c>
      <c r="E370" s="307">
        <f t="shared" ca="1" si="154"/>
        <v>-32.511172953301731</v>
      </c>
      <c r="F370" s="304">
        <f t="shared" ca="1" si="155"/>
        <v>32.61271656829274</v>
      </c>
      <c r="G370" s="306">
        <f t="shared" ca="1" si="156"/>
        <v>25.629695575159751</v>
      </c>
      <c r="H370" s="307">
        <f t="shared" ca="1" si="157"/>
        <v>226.15538091946192</v>
      </c>
      <c r="I370" s="304">
        <f t="shared" ca="1" si="158"/>
        <v>227.6030263728984</v>
      </c>
      <c r="J370" s="306">
        <f t="shared" ca="1" si="159"/>
        <v>59.171000969861254</v>
      </c>
      <c r="K370" s="307">
        <f t="shared" ca="1" si="160"/>
        <v>557.07604972713705</v>
      </c>
      <c r="L370" s="304">
        <f t="shared" ca="1" si="145"/>
        <v>560.20972192150236</v>
      </c>
      <c r="M370" s="306">
        <f t="shared" ca="1" si="161"/>
        <v>1.457949969045276</v>
      </c>
      <c r="N370" s="304">
        <f t="shared" ca="1" si="162"/>
        <v>83.534379967523336</v>
      </c>
      <c r="P370" s="310">
        <f t="shared" ca="1" si="163"/>
        <v>23</v>
      </c>
      <c r="Q370" s="304">
        <f t="shared" ca="1" si="164"/>
        <v>0</v>
      </c>
      <c r="R370" s="306">
        <f t="shared" ca="1" si="165"/>
        <v>0</v>
      </c>
      <c r="S370" s="307">
        <f t="shared" ca="1" si="166"/>
        <v>6.1519999999999921</v>
      </c>
      <c r="T370" s="304">
        <f t="shared" ca="1" si="146"/>
        <v>60.351119999999923</v>
      </c>
      <c r="U370" s="311">
        <f t="shared" ca="1" si="147"/>
        <v>0</v>
      </c>
      <c r="V370" s="306">
        <f t="shared" ca="1" si="148"/>
        <v>1.1586074683709895</v>
      </c>
      <c r="W370" s="304">
        <f t="shared" ca="1" si="149"/>
        <v>140.11737824830468</v>
      </c>
      <c r="Y370" s="314" t="str">
        <f t="shared" ca="1" si="167"/>
        <v/>
      </c>
      <c r="Z370" s="315" t="str">
        <f t="shared" ca="1" si="168"/>
        <v/>
      </c>
      <c r="AA370" s="316" t="str">
        <f t="shared" ca="1" si="169"/>
        <v/>
      </c>
      <c r="AC370" s="310" t="e">
        <f t="shared" ca="1" si="170"/>
        <v>#N/A</v>
      </c>
      <c r="AD370" s="323" t="e">
        <f t="shared" ca="1" si="171"/>
        <v>#N/A</v>
      </c>
      <c r="AE370" s="324">
        <f t="shared" ca="1" si="150"/>
        <v>557.07604972713705</v>
      </c>
      <c r="AG370" s="306">
        <f t="shared" ca="1" si="172"/>
        <v>-32.594018166906451</v>
      </c>
      <c r="AH370" s="304">
        <f t="shared" ca="1" si="173"/>
        <v>-22.846360073762639</v>
      </c>
    </row>
    <row r="371" spans="1:34" x14ac:dyDescent="0.2">
      <c r="A371" s="347">
        <f t="shared" ca="1" si="151"/>
        <v>0.01</v>
      </c>
      <c r="B371" s="304">
        <f t="shared" ca="1" si="152"/>
        <v>3.6699999999999657</v>
      </c>
      <c r="D371" s="306">
        <f t="shared" ca="1" si="153"/>
        <v>-2.5647266885224083</v>
      </c>
      <c r="E371" s="307">
        <f t="shared" ca="1" si="154"/>
        <v>-32.441042943766227</v>
      </c>
      <c r="F371" s="304">
        <f t="shared" ca="1" si="155"/>
        <v>32.542266212820884</v>
      </c>
      <c r="G371" s="306">
        <f t="shared" ca="1" si="156"/>
        <v>25.604048308274528</v>
      </c>
      <c r="H371" s="307">
        <f t="shared" ca="1" si="157"/>
        <v>225.83097049002427</v>
      </c>
      <c r="I371" s="304">
        <f t="shared" ca="1" si="158"/>
        <v>227.277791528866</v>
      </c>
      <c r="J371" s="306">
        <f t="shared" ca="1" si="159"/>
        <v>59.427169689278422</v>
      </c>
      <c r="K371" s="307">
        <f t="shared" ca="1" si="160"/>
        <v>559.33598148418446</v>
      </c>
      <c r="L371" s="304">
        <f t="shared" ca="1" si="145"/>
        <v>562.48406971233794</v>
      </c>
      <c r="M371" s="306">
        <f t="shared" ca="1" si="161"/>
        <v>1.4579013644398151</v>
      </c>
      <c r="N371" s="304">
        <f t="shared" ca="1" si="162"/>
        <v>83.531595128765517</v>
      </c>
      <c r="P371" s="310">
        <f t="shared" ca="1" si="163"/>
        <v>23</v>
      </c>
      <c r="Q371" s="304">
        <f t="shared" ca="1" si="164"/>
        <v>0</v>
      </c>
      <c r="R371" s="306">
        <f t="shared" ca="1" si="165"/>
        <v>0</v>
      </c>
      <c r="S371" s="307">
        <f t="shared" ca="1" si="166"/>
        <v>6.1519999999999921</v>
      </c>
      <c r="T371" s="304">
        <f t="shared" ca="1" si="146"/>
        <v>60.351119999999923</v>
      </c>
      <c r="U371" s="311">
        <f t="shared" ca="1" si="147"/>
        <v>0</v>
      </c>
      <c r="V371" s="306">
        <f t="shared" ca="1" si="148"/>
        <v>1.158345456493808</v>
      </c>
      <c r="W371" s="304">
        <f t="shared" ca="1" si="149"/>
        <v>139.68562487373705</v>
      </c>
      <c r="Y371" s="314" t="str">
        <f t="shared" ca="1" si="167"/>
        <v/>
      </c>
      <c r="Z371" s="315" t="str">
        <f t="shared" ca="1" si="168"/>
        <v/>
      </c>
      <c r="AA371" s="316" t="str">
        <f t="shared" ca="1" si="169"/>
        <v/>
      </c>
      <c r="AC371" s="310" t="e">
        <f t="shared" ca="1" si="170"/>
        <v>#N/A</v>
      </c>
      <c r="AD371" s="323" t="e">
        <f t="shared" ca="1" si="171"/>
        <v>#N/A</v>
      </c>
      <c r="AE371" s="324">
        <f t="shared" ca="1" si="150"/>
        <v>559.33598148418446</v>
      </c>
      <c r="AG371" s="306">
        <f t="shared" ca="1" si="172"/>
        <v>-32.523511249382182</v>
      </c>
      <c r="AH371" s="304">
        <f t="shared" ca="1" si="173"/>
        <v>-22.77590673737075</v>
      </c>
    </row>
    <row r="372" spans="1:34" x14ac:dyDescent="0.2">
      <c r="A372" s="347">
        <f t="shared" ca="1" si="151"/>
        <v>0.01</v>
      </c>
      <c r="B372" s="304">
        <f t="shared" ca="1" si="152"/>
        <v>3.6799999999999655</v>
      </c>
      <c r="D372" s="306">
        <f t="shared" ca="1" si="153"/>
        <v>-2.5579203991526698</v>
      </c>
      <c r="E372" s="307">
        <f t="shared" ca="1" si="154"/>
        <v>-32.371184044875982</v>
      </c>
      <c r="F372" s="304">
        <f t="shared" ca="1" si="155"/>
        <v>32.472088217970132</v>
      </c>
      <c r="G372" s="306">
        <f t="shared" ca="1" si="156"/>
        <v>25.578469104283002</v>
      </c>
      <c r="H372" s="307">
        <f t="shared" ca="1" si="157"/>
        <v>225.5072586495755</v>
      </c>
      <c r="I372" s="304">
        <f t="shared" ca="1" si="158"/>
        <v>226.95325903226265</v>
      </c>
      <c r="J372" s="306">
        <f t="shared" ca="1" si="159"/>
        <v>59.68308227634121</v>
      </c>
      <c r="K372" s="307">
        <f t="shared" ca="1" si="160"/>
        <v>561.59267262988249</v>
      </c>
      <c r="L372" s="304">
        <f t="shared" ca="1" si="145"/>
        <v>564.75516842396303</v>
      </c>
      <c r="M372" s="306">
        <f t="shared" ca="1" si="161"/>
        <v>1.457852669456513</v>
      </c>
      <c r="N372" s="304">
        <f t="shared" ca="1" si="162"/>
        <v>83.528805111738862</v>
      </c>
      <c r="P372" s="310">
        <f t="shared" ca="1" si="163"/>
        <v>23</v>
      </c>
      <c r="Q372" s="304">
        <f t="shared" ca="1" si="164"/>
        <v>0</v>
      </c>
      <c r="R372" s="306">
        <f t="shared" ca="1" si="165"/>
        <v>0</v>
      </c>
      <c r="S372" s="307">
        <f t="shared" ca="1" si="166"/>
        <v>6.1519999999999921</v>
      </c>
      <c r="T372" s="304">
        <f t="shared" ca="1" si="146"/>
        <v>60.351119999999923</v>
      </c>
      <c r="U372" s="311">
        <f t="shared" ca="1" si="147"/>
        <v>0</v>
      </c>
      <c r="V372" s="306">
        <f t="shared" ca="1" si="148"/>
        <v>1.1580838777983034</v>
      </c>
      <c r="W372" s="304">
        <f t="shared" ca="1" si="149"/>
        <v>139.25553843182007</v>
      </c>
      <c r="Y372" s="314" t="str">
        <f t="shared" ca="1" si="167"/>
        <v/>
      </c>
      <c r="Z372" s="315" t="str">
        <f t="shared" ca="1" si="168"/>
        <v/>
      </c>
      <c r="AA372" s="316" t="str">
        <f t="shared" ca="1" si="169"/>
        <v/>
      </c>
      <c r="AC372" s="310" t="e">
        <f t="shared" ca="1" si="170"/>
        <v>#N/A</v>
      </c>
      <c r="AD372" s="323" t="e">
        <f t="shared" ca="1" si="171"/>
        <v>#N/A</v>
      </c>
      <c r="AE372" s="324">
        <f t="shared" ca="1" si="150"/>
        <v>561.59267262988249</v>
      </c>
      <c r="AG372" s="306">
        <f t="shared" ca="1" si="172"/>
        <v>-32.453276567927944</v>
      </c>
      <c r="AH372" s="304">
        <f t="shared" ca="1" si="173"/>
        <v>-22.705725759710212</v>
      </c>
    </row>
    <row r="373" spans="1:34" x14ac:dyDescent="0.2">
      <c r="A373" s="347">
        <f t="shared" ca="1" si="151"/>
        <v>0.01</v>
      </c>
      <c r="B373" s="304">
        <f t="shared" ca="1" si="152"/>
        <v>3.6899999999999653</v>
      </c>
      <c r="D373" s="306">
        <f t="shared" ca="1" si="153"/>
        <v>-2.5511398955975504</v>
      </c>
      <c r="E373" s="307">
        <f t="shared" ca="1" si="154"/>
        <v>-32.301594862158339</v>
      </c>
      <c r="F373" s="304">
        <f t="shared" ca="1" si="155"/>
        <v>32.40218118284514</v>
      </c>
      <c r="G373" s="306">
        <f t="shared" ca="1" si="156"/>
        <v>25.552957705327028</v>
      </c>
      <c r="H373" s="307">
        <f t="shared" ca="1" si="157"/>
        <v>225.18424270095392</v>
      </c>
      <c r="I373" s="304">
        <f t="shared" ca="1" si="158"/>
        <v>226.62942617474093</v>
      </c>
      <c r="J373" s="306">
        <f t="shared" ca="1" si="159"/>
        <v>59.93873941038926</v>
      </c>
      <c r="K373" s="307">
        <f t="shared" ca="1" si="160"/>
        <v>563.84613013663511</v>
      </c>
      <c r="L373" s="304">
        <f t="shared" ca="1" si="145"/>
        <v>567.02302506350281</v>
      </c>
      <c r="M373" s="306">
        <f t="shared" ca="1" si="161"/>
        <v>1.4578038839483791</v>
      </c>
      <c r="N373" s="304">
        <f t="shared" ca="1" si="162"/>
        <v>83.526009908021379</v>
      </c>
      <c r="P373" s="310">
        <f t="shared" ca="1" si="163"/>
        <v>23</v>
      </c>
      <c r="Q373" s="304">
        <f t="shared" ca="1" si="164"/>
        <v>0</v>
      </c>
      <c r="R373" s="306">
        <f t="shared" ca="1" si="165"/>
        <v>0</v>
      </c>
      <c r="S373" s="307">
        <f t="shared" ca="1" si="166"/>
        <v>6.1519999999999921</v>
      </c>
      <c r="T373" s="304">
        <f t="shared" ca="1" si="146"/>
        <v>60.351119999999923</v>
      </c>
      <c r="U373" s="311">
        <f t="shared" ca="1" si="147"/>
        <v>0</v>
      </c>
      <c r="V373" s="306">
        <f t="shared" ca="1" si="148"/>
        <v>1.1578227312102742</v>
      </c>
      <c r="W373" s="304">
        <f t="shared" ca="1" si="149"/>
        <v>138.82711036019521</v>
      </c>
      <c r="Y373" s="314" t="str">
        <f t="shared" ca="1" si="167"/>
        <v/>
      </c>
      <c r="Z373" s="315" t="str">
        <f t="shared" ca="1" si="168"/>
        <v/>
      </c>
      <c r="AA373" s="316" t="str">
        <f t="shared" ca="1" si="169"/>
        <v/>
      </c>
      <c r="AC373" s="310" t="e">
        <f t="shared" ca="1" si="170"/>
        <v>#N/A</v>
      </c>
      <c r="AD373" s="323" t="e">
        <f t="shared" ca="1" si="171"/>
        <v>#N/A</v>
      </c>
      <c r="AE373" s="324">
        <f t="shared" ca="1" si="150"/>
        <v>563.84613013663511</v>
      </c>
      <c r="AG373" s="306">
        <f t="shared" ca="1" si="172"/>
        <v>-32.3833127213653</v>
      </c>
      <c r="AH373" s="304">
        <f t="shared" ca="1" si="173"/>
        <v>-22.63581573989276</v>
      </c>
    </row>
    <row r="374" spans="1:34" x14ac:dyDescent="0.2">
      <c r="A374" s="347">
        <f t="shared" ca="1" si="151"/>
        <v>0.01</v>
      </c>
      <c r="B374" s="304">
        <f t="shared" ca="1" si="152"/>
        <v>3.6999999999999651</v>
      </c>
      <c r="D374" s="306">
        <f t="shared" ca="1" si="153"/>
        <v>-2.5443850447406153</v>
      </c>
      <c r="E374" s="307">
        <f t="shared" ca="1" si="154"/>
        <v>-32.232274010186487</v>
      </c>
      <c r="F374" s="304">
        <f t="shared" ca="1" si="155"/>
        <v>32.33254371563801</v>
      </c>
      <c r="G374" s="306">
        <f t="shared" ca="1" si="156"/>
        <v>25.527513854879622</v>
      </c>
      <c r="H374" s="307">
        <f t="shared" ca="1" si="157"/>
        <v>224.86191996085205</v>
      </c>
      <c r="I374" s="304">
        <f t="shared" ca="1" si="158"/>
        <v>226.3062902618743</v>
      </c>
      <c r="J374" s="306">
        <f t="shared" ca="1" si="159"/>
        <v>60.194141768190292</v>
      </c>
      <c r="K374" s="307">
        <f t="shared" ca="1" si="160"/>
        <v>566.09636094994414</v>
      </c>
      <c r="L374" s="304">
        <f t="shared" ca="1" si="145"/>
        <v>569.28764661107698</v>
      </c>
      <c r="M374" s="306">
        <f t="shared" ca="1" si="161"/>
        <v>1.4577550077679862</v>
      </c>
      <c r="N374" s="304">
        <f t="shared" ca="1" si="162"/>
        <v>83.523209509166151</v>
      </c>
      <c r="P374" s="310">
        <f t="shared" ca="1" si="163"/>
        <v>23</v>
      </c>
      <c r="Q374" s="304">
        <f t="shared" ca="1" si="164"/>
        <v>0</v>
      </c>
      <c r="R374" s="306">
        <f t="shared" ca="1" si="165"/>
        <v>0</v>
      </c>
      <c r="S374" s="307">
        <f t="shared" ca="1" si="166"/>
        <v>6.1519999999999921</v>
      </c>
      <c r="T374" s="304">
        <f t="shared" ca="1" si="146"/>
        <v>60.351119999999923</v>
      </c>
      <c r="U374" s="311">
        <f t="shared" ca="1" si="147"/>
        <v>0</v>
      </c>
      <c r="V374" s="306">
        <f t="shared" ca="1" si="148"/>
        <v>1.1575620156598692</v>
      </c>
      <c r="W374" s="304">
        <f t="shared" ca="1" si="149"/>
        <v>138.40033215197349</v>
      </c>
      <c r="Y374" s="314" t="str">
        <f t="shared" ca="1" si="167"/>
        <v/>
      </c>
      <c r="Z374" s="315" t="str">
        <f t="shared" ca="1" si="168"/>
        <v/>
      </c>
      <c r="AA374" s="316" t="str">
        <f t="shared" ca="1" si="169"/>
        <v/>
      </c>
      <c r="AC374" s="310" t="e">
        <f t="shared" ca="1" si="170"/>
        <v>#N/A</v>
      </c>
      <c r="AD374" s="323" t="e">
        <f t="shared" ca="1" si="171"/>
        <v>#N/A</v>
      </c>
      <c r="AE374" s="324">
        <f t="shared" ca="1" si="150"/>
        <v>566.09636094994414</v>
      </c>
      <c r="AG374" s="306">
        <f t="shared" ca="1" si="172"/>
        <v>-32.313618317602298</v>
      </c>
      <c r="AH374" s="304">
        <f t="shared" ca="1" si="173"/>
        <v>-22.566175286117584</v>
      </c>
    </row>
    <row r="375" spans="1:34" x14ac:dyDescent="0.2">
      <c r="A375" s="347">
        <f t="shared" ca="1" si="151"/>
        <v>0.01</v>
      </c>
      <c r="B375" s="304">
        <f t="shared" ca="1" si="152"/>
        <v>3.7099999999999649</v>
      </c>
      <c r="D375" s="306">
        <f t="shared" ca="1" si="153"/>
        <v>-2.5376557143272076</v>
      </c>
      <c r="E375" s="307">
        <f t="shared" ca="1" si="154"/>
        <v>-32.163220112508839</v>
      </c>
      <c r="F375" s="304">
        <f t="shared" ca="1" si="155"/>
        <v>32.263174433557381</v>
      </c>
      <c r="G375" s="306">
        <f t="shared" ca="1" si="156"/>
        <v>25.502137297736351</v>
      </c>
      <c r="H375" s="307">
        <f t="shared" ca="1" si="157"/>
        <v>224.54028775972697</v>
      </c>
      <c r="I375" s="304">
        <f t="shared" ca="1" si="158"/>
        <v>225.98384861306701</v>
      </c>
      <c r="J375" s="306">
        <f t="shared" ca="1" si="159"/>
        <v>60.449290023953374</v>
      </c>
      <c r="K375" s="307">
        <f t="shared" ca="1" si="160"/>
        <v>568.34337198854701</v>
      </c>
      <c r="L375" s="304">
        <f t="shared" ca="1" si="145"/>
        <v>571.54904001993737</v>
      </c>
      <c r="M375" s="306">
        <f t="shared" ca="1" si="161"/>
        <v>1.4577060407674709</v>
      </c>
      <c r="N375" s="304">
        <f t="shared" ca="1" si="162"/>
        <v>83.520403906701205</v>
      </c>
      <c r="P375" s="310">
        <f t="shared" ca="1" si="163"/>
        <v>23</v>
      </c>
      <c r="Q375" s="304">
        <f t="shared" ca="1" si="164"/>
        <v>0</v>
      </c>
      <c r="R375" s="306">
        <f t="shared" ca="1" si="165"/>
        <v>0</v>
      </c>
      <c r="S375" s="307">
        <f t="shared" ca="1" si="166"/>
        <v>6.1519999999999921</v>
      </c>
      <c r="T375" s="304">
        <f t="shared" ca="1" si="146"/>
        <v>60.351119999999923</v>
      </c>
      <c r="U375" s="311">
        <f t="shared" ca="1" si="147"/>
        <v>0</v>
      </c>
      <c r="V375" s="306">
        <f t="shared" ca="1" si="148"/>
        <v>1.1573017300815647</v>
      </c>
      <c r="W375" s="304">
        <f t="shared" ca="1" si="149"/>
        <v>137.97519535530313</v>
      </c>
      <c r="Y375" s="314" t="str">
        <f t="shared" ca="1" si="167"/>
        <v/>
      </c>
      <c r="Z375" s="315" t="str">
        <f t="shared" ca="1" si="168"/>
        <v/>
      </c>
      <c r="AA375" s="316" t="str">
        <f t="shared" ca="1" si="169"/>
        <v/>
      </c>
      <c r="AC375" s="310" t="e">
        <f t="shared" ca="1" si="170"/>
        <v>#N/A</v>
      </c>
      <c r="AD375" s="323" t="e">
        <f t="shared" ca="1" si="171"/>
        <v>#N/A</v>
      </c>
      <c r="AE375" s="324">
        <f t="shared" ca="1" si="150"/>
        <v>568.34337198854701</v>
      </c>
      <c r="AG375" s="306">
        <f t="shared" ca="1" si="172"/>
        <v>-32.244191973562494</v>
      </c>
      <c r="AH375" s="304">
        <f t="shared" ca="1" si="173"/>
        <v>-22.496803015600399</v>
      </c>
    </row>
    <row r="376" spans="1:34" x14ac:dyDescent="0.2">
      <c r="A376" s="347">
        <f t="shared" ca="1" si="151"/>
        <v>0.01</v>
      </c>
      <c r="B376" s="304">
        <f t="shared" ca="1" si="152"/>
        <v>3.7199999999999647</v>
      </c>
      <c r="D376" s="306">
        <f t="shared" ca="1" si="153"/>
        <v>-2.5309517729576902</v>
      </c>
      <c r="E376" s="307">
        <f t="shared" ca="1" si="154"/>
        <v>-32.094431801579063</v>
      </c>
      <c r="F376" s="304">
        <f t="shared" ca="1" si="155"/>
        <v>32.194071962758102</v>
      </c>
      <c r="G376" s="306">
        <f t="shared" ca="1" si="156"/>
        <v>25.476827780006772</v>
      </c>
      <c r="H376" s="307">
        <f t="shared" ca="1" si="157"/>
        <v>224.21934344171117</v>
      </c>
      <c r="I376" s="304">
        <f t="shared" ca="1" si="158"/>
        <v>225.66209856146457</v>
      </c>
      <c r="J376" s="306">
        <f t="shared" ca="1" si="159"/>
        <v>60.704184849342091</v>
      </c>
      <c r="K376" s="307">
        <f t="shared" ca="1" si="160"/>
        <v>570.58717014455419</v>
      </c>
      <c r="L376" s="304">
        <f t="shared" ca="1" si="145"/>
        <v>573.80721221660633</v>
      </c>
      <c r="M376" s="306">
        <f t="shared" ca="1" si="161"/>
        <v>1.4576569827985304</v>
      </c>
      <c r="N376" s="304">
        <f t="shared" ca="1" si="162"/>
        <v>83.517593092129431</v>
      </c>
      <c r="P376" s="310">
        <f t="shared" ca="1" si="163"/>
        <v>23</v>
      </c>
      <c r="Q376" s="304">
        <f t="shared" ca="1" si="164"/>
        <v>0</v>
      </c>
      <c r="R376" s="306">
        <f t="shared" ca="1" si="165"/>
        <v>0</v>
      </c>
      <c r="S376" s="307">
        <f t="shared" ca="1" si="166"/>
        <v>6.1519999999999921</v>
      </c>
      <c r="T376" s="304">
        <f t="shared" ca="1" si="146"/>
        <v>60.351119999999923</v>
      </c>
      <c r="U376" s="311">
        <f t="shared" ca="1" si="147"/>
        <v>0</v>
      </c>
      <c r="V376" s="306">
        <f t="shared" ca="1" si="148"/>
        <v>1.1570418734141399</v>
      </c>
      <c r="W376" s="304">
        <f t="shared" ca="1" si="149"/>
        <v>137.55169157294088</v>
      </c>
      <c r="Y376" s="314" t="str">
        <f t="shared" ca="1" si="167"/>
        <v/>
      </c>
      <c r="Z376" s="315" t="str">
        <f t="shared" ca="1" si="168"/>
        <v/>
      </c>
      <c r="AA376" s="316" t="str">
        <f t="shared" ca="1" si="169"/>
        <v/>
      </c>
      <c r="AC376" s="310" t="e">
        <f t="shared" ca="1" si="170"/>
        <v>#N/A</v>
      </c>
      <c r="AD376" s="323" t="e">
        <f t="shared" ca="1" si="171"/>
        <v>#N/A</v>
      </c>
      <c r="AE376" s="324">
        <f t="shared" ca="1" si="150"/>
        <v>570.58717014455419</v>
      </c>
      <c r="AG376" s="306">
        <f t="shared" ca="1" si="172"/>
        <v>-32.175032315114663</v>
      </c>
      <c r="AH376" s="304">
        <f t="shared" ca="1" si="173"/>
        <v>-22.427697554503137</v>
      </c>
    </row>
    <row r="377" spans="1:34" x14ac:dyDescent="0.2">
      <c r="A377" s="347">
        <f t="shared" ca="1" si="151"/>
        <v>0.01</v>
      </c>
      <c r="B377" s="304">
        <f t="shared" ca="1" si="152"/>
        <v>3.7299999999999645</v>
      </c>
      <c r="D377" s="306">
        <f t="shared" ca="1" si="153"/>
        <v>-2.5242730900808357</v>
      </c>
      <c r="E377" s="307">
        <f t="shared" ca="1" si="154"/>
        <v>-32.025907718686717</v>
      </c>
      <c r="F377" s="304">
        <f t="shared" ca="1" si="155"/>
        <v>32.125234938271561</v>
      </c>
      <c r="G377" s="306">
        <f t="shared" ca="1" si="156"/>
        <v>25.451585049105965</v>
      </c>
      <c r="H377" s="307">
        <f t="shared" ca="1" si="157"/>
        <v>223.8990843645243</v>
      </c>
      <c r="I377" s="304">
        <f t="shared" ca="1" si="158"/>
        <v>225.34103745386514</v>
      </c>
      <c r="J377" s="306">
        <f t="shared" ca="1" si="159"/>
        <v>60.958826913487655</v>
      </c>
      <c r="K377" s="307">
        <f t="shared" ca="1" si="160"/>
        <v>572.82776228358534</v>
      </c>
      <c r="L377" s="304">
        <f t="shared" ca="1" si="145"/>
        <v>576.06217010101284</v>
      </c>
      <c r="M377" s="306">
        <f t="shared" ca="1" si="161"/>
        <v>1.4576078337124228</v>
      </c>
      <c r="N377" s="304">
        <f t="shared" ca="1" si="162"/>
        <v>83.514777056928537</v>
      </c>
      <c r="P377" s="310">
        <f t="shared" ca="1" si="163"/>
        <v>23</v>
      </c>
      <c r="Q377" s="304">
        <f t="shared" ca="1" si="164"/>
        <v>0</v>
      </c>
      <c r="R377" s="306">
        <f t="shared" ca="1" si="165"/>
        <v>0</v>
      </c>
      <c r="S377" s="307">
        <f t="shared" ca="1" si="166"/>
        <v>6.1519999999999921</v>
      </c>
      <c r="T377" s="304">
        <f t="shared" ca="1" si="146"/>
        <v>60.351119999999923</v>
      </c>
      <c r="U377" s="311">
        <f t="shared" ca="1" si="147"/>
        <v>0</v>
      </c>
      <c r="V377" s="306">
        <f t="shared" ca="1" si="148"/>
        <v>1.156782444600654</v>
      </c>
      <c r="W377" s="304">
        <f t="shared" ca="1" si="149"/>
        <v>137.12981246182727</v>
      </c>
      <c r="Y377" s="314" t="str">
        <f t="shared" ca="1" si="167"/>
        <v/>
      </c>
      <c r="Z377" s="315" t="str">
        <f t="shared" ca="1" si="168"/>
        <v/>
      </c>
      <c r="AA377" s="316" t="str">
        <f t="shared" ca="1" si="169"/>
        <v/>
      </c>
      <c r="AC377" s="310" t="e">
        <f t="shared" ca="1" si="170"/>
        <v>#N/A</v>
      </c>
      <c r="AD377" s="323" t="e">
        <f t="shared" ca="1" si="171"/>
        <v>#N/A</v>
      </c>
      <c r="AE377" s="324">
        <f t="shared" ca="1" si="150"/>
        <v>572.82776228358534</v>
      </c>
      <c r="AG377" s="306">
        <f t="shared" ca="1" si="172"/>
        <v>-32.106137977003129</v>
      </c>
      <c r="AH377" s="304">
        <f t="shared" ca="1" si="173"/>
        <v>-22.358857537864282</v>
      </c>
    </row>
    <row r="378" spans="1:34" x14ac:dyDescent="0.2">
      <c r="A378" s="347">
        <f t="shared" ca="1" si="151"/>
        <v>0.01</v>
      </c>
      <c r="B378" s="304">
        <f t="shared" ca="1" si="152"/>
        <v>3.7399999999999642</v>
      </c>
      <c r="D378" s="306">
        <f t="shared" ca="1" si="153"/>
        <v>-2.5176195359871825</v>
      </c>
      <c r="E378" s="307">
        <f t="shared" ca="1" si="154"/>
        <v>-31.957646513888534</v>
      </c>
      <c r="F378" s="304">
        <f t="shared" ca="1" si="155"/>
        <v>32.056662003936658</v>
      </c>
      <c r="G378" s="306">
        <f t="shared" ca="1" si="156"/>
        <v>25.426408853746093</v>
      </c>
      <c r="H378" s="307">
        <f t="shared" ca="1" si="157"/>
        <v>223.57950789938542</v>
      </c>
      <c r="I378" s="304">
        <f t="shared" ca="1" si="158"/>
        <v>225.02066265063127</v>
      </c>
      <c r="J378" s="306">
        <f t="shared" ca="1" si="159"/>
        <v>61.213216883001913</v>
      </c>
      <c r="K378" s="307">
        <f t="shared" ca="1" si="160"/>
        <v>575.06515524490487</v>
      </c>
      <c r="L378" s="304">
        <f t="shared" ca="1" si="145"/>
        <v>578.31392054662831</v>
      </c>
      <c r="M378" s="306">
        <f t="shared" ca="1" si="161"/>
        <v>1.4575585933599644</v>
      </c>
      <c r="N378" s="304">
        <f t="shared" ca="1" si="162"/>
        <v>83.511955792550935</v>
      </c>
      <c r="P378" s="310">
        <f t="shared" ca="1" si="163"/>
        <v>23</v>
      </c>
      <c r="Q378" s="304">
        <f t="shared" ca="1" si="164"/>
        <v>0</v>
      </c>
      <c r="R378" s="306">
        <f t="shared" ca="1" si="165"/>
        <v>0</v>
      </c>
      <c r="S378" s="307">
        <f t="shared" ca="1" si="166"/>
        <v>6.1519999999999921</v>
      </c>
      <c r="T378" s="304">
        <f t="shared" ca="1" si="146"/>
        <v>60.351119999999923</v>
      </c>
      <c r="U378" s="311">
        <f t="shared" ca="1" si="147"/>
        <v>0</v>
      </c>
      <c r="V378" s="306">
        <f t="shared" ca="1" si="148"/>
        <v>1.1565234425884254</v>
      </c>
      <c r="W378" s="304">
        <f t="shared" ca="1" si="149"/>
        <v>136.70954973266612</v>
      </c>
      <c r="Y378" s="314" t="str">
        <f t="shared" ca="1" si="167"/>
        <v/>
      </c>
      <c r="Z378" s="315" t="str">
        <f t="shared" ca="1" si="168"/>
        <v/>
      </c>
      <c r="AA378" s="316" t="str">
        <f t="shared" ca="1" si="169"/>
        <v/>
      </c>
      <c r="AC378" s="310" t="e">
        <f t="shared" ca="1" si="170"/>
        <v>#N/A</v>
      </c>
      <c r="AD378" s="323" t="e">
        <f t="shared" ca="1" si="171"/>
        <v>#N/A</v>
      </c>
      <c r="AE378" s="324">
        <f t="shared" ca="1" si="150"/>
        <v>575.06515524490487</v>
      </c>
      <c r="AG378" s="306">
        <f t="shared" ca="1" si="172"/>
        <v>-32.037507602778703</v>
      </c>
      <c r="AH378" s="304">
        <f t="shared" ca="1" si="173"/>
        <v>-22.290281609529821</v>
      </c>
    </row>
    <row r="379" spans="1:34" x14ac:dyDescent="0.2">
      <c r="A379" s="347">
        <f t="shared" ca="1" si="151"/>
        <v>0.01</v>
      </c>
      <c r="B379" s="304">
        <f t="shared" ca="1" si="152"/>
        <v>3.749999999999964</v>
      </c>
      <c r="D379" s="306">
        <f t="shared" ca="1" si="153"/>
        <v>-2.5109909818025336</v>
      </c>
      <c r="E379" s="307">
        <f t="shared" ca="1" si="154"/>
        <v>-31.889646845940376</v>
      </c>
      <c r="F379" s="304">
        <f t="shared" ca="1" si="155"/>
        <v>31.988351812331448</v>
      </c>
      <c r="G379" s="306">
        <f t="shared" ca="1" si="156"/>
        <v>25.401298943928069</v>
      </c>
      <c r="H379" s="307">
        <f t="shared" ca="1" si="157"/>
        <v>223.26061143092602</v>
      </c>
      <c r="I379" s="304">
        <f t="shared" ca="1" si="158"/>
        <v>224.70097152560274</v>
      </c>
      <c r="J379" s="306">
        <f t="shared" ca="1" si="159"/>
        <v>61.467355421990284</v>
      </c>
      <c r="K379" s="307">
        <f t="shared" ca="1" si="160"/>
        <v>577.29935584155646</v>
      </c>
      <c r="L379" s="304">
        <f t="shared" ca="1" si="145"/>
        <v>580.56247040060146</v>
      </c>
      <c r="M379" s="306">
        <f t="shared" ca="1" si="161"/>
        <v>1.4575092615915297</v>
      </c>
      <c r="N379" s="304">
        <f t="shared" ca="1" si="162"/>
        <v>83.509129290423715</v>
      </c>
      <c r="P379" s="310">
        <f t="shared" ca="1" si="163"/>
        <v>23</v>
      </c>
      <c r="Q379" s="304">
        <f t="shared" ca="1" si="164"/>
        <v>0</v>
      </c>
      <c r="R379" s="306">
        <f t="shared" ca="1" si="165"/>
        <v>0</v>
      </c>
      <c r="S379" s="307">
        <f t="shared" ca="1" si="166"/>
        <v>6.1519999999999921</v>
      </c>
      <c r="T379" s="304">
        <f t="shared" ca="1" si="146"/>
        <v>60.351119999999923</v>
      </c>
      <c r="U379" s="311">
        <f t="shared" ca="1" si="147"/>
        <v>0</v>
      </c>
      <c r="V379" s="306">
        <f t="shared" ca="1" si="148"/>
        <v>1.1562648663290069</v>
      </c>
      <c r="W379" s="304">
        <f t="shared" ca="1" si="149"/>
        <v>136.29089514950758</v>
      </c>
      <c r="Y379" s="314" t="str">
        <f t="shared" ca="1" si="167"/>
        <v/>
      </c>
      <c r="Z379" s="315" t="str">
        <f t="shared" ca="1" si="168"/>
        <v/>
      </c>
      <c r="AA379" s="316" t="str">
        <f t="shared" ca="1" si="169"/>
        <v/>
      </c>
      <c r="AC379" s="310" t="e">
        <f t="shared" ca="1" si="170"/>
        <v>#N/A</v>
      </c>
      <c r="AD379" s="323" t="e">
        <f t="shared" ca="1" si="171"/>
        <v>#N/A</v>
      </c>
      <c r="AE379" s="324">
        <f t="shared" ca="1" si="150"/>
        <v>577.29935584155646</v>
      </c>
      <c r="AG379" s="306">
        <f t="shared" ca="1" si="172"/>
        <v>-31.969139844730329</v>
      </c>
      <c r="AH379" s="304">
        <f t="shared" ca="1" si="173"/>
        <v>-22.221968422084899</v>
      </c>
    </row>
    <row r="380" spans="1:34" x14ac:dyDescent="0.2">
      <c r="A380" s="347">
        <f t="shared" ca="1" si="151"/>
        <v>0.01</v>
      </c>
      <c r="B380" s="304">
        <f t="shared" ca="1" si="152"/>
        <v>3.7599999999999638</v>
      </c>
      <c r="D380" s="306">
        <f t="shared" ca="1" si="153"/>
        <v>-2.5043872994814569</v>
      </c>
      <c r="E380" s="307">
        <f t="shared" ca="1" si="154"/>
        <v>-31.821907382229774</v>
      </c>
      <c r="F380" s="304">
        <f t="shared" ca="1" si="155"/>
        <v>31.920303024705355</v>
      </c>
      <c r="G380" s="306">
        <f t="shared" ca="1" si="156"/>
        <v>25.376255070933254</v>
      </c>
      <c r="H380" s="307">
        <f t="shared" ca="1" si="157"/>
        <v>222.94239235710373</v>
      </c>
      <c r="I380" s="304">
        <f t="shared" ca="1" si="158"/>
        <v>224.38196146600967</v>
      </c>
      <c r="J380" s="306">
        <f t="shared" ca="1" si="159"/>
        <v>61.721243192064591</v>
      </c>
      <c r="K380" s="307">
        <f t="shared" ca="1" si="160"/>
        <v>579.53037086049665</v>
      </c>
      <c r="L380" s="304">
        <f t="shared" ca="1" si="145"/>
        <v>582.80782648389231</v>
      </c>
      <c r="M380" s="306">
        <f t="shared" ca="1" si="161"/>
        <v>1.4574598382570494</v>
      </c>
      <c r="N380" s="304">
        <f t="shared" ca="1" si="162"/>
        <v>83.506297541948527</v>
      </c>
      <c r="P380" s="310">
        <f t="shared" ca="1" si="163"/>
        <v>23</v>
      </c>
      <c r="Q380" s="304">
        <f t="shared" ca="1" si="164"/>
        <v>0</v>
      </c>
      <c r="R380" s="306">
        <f t="shared" ca="1" si="165"/>
        <v>0</v>
      </c>
      <c r="S380" s="307">
        <f t="shared" ca="1" si="166"/>
        <v>6.1519999999999921</v>
      </c>
      <c r="T380" s="304">
        <f t="shared" ca="1" si="146"/>
        <v>60.351119999999923</v>
      </c>
      <c r="U380" s="311">
        <f t="shared" ca="1" si="147"/>
        <v>0</v>
      </c>
      <c r="V380" s="306">
        <f t="shared" ca="1" si="148"/>
        <v>1.1560067147781643</v>
      </c>
      <c r="W380" s="304">
        <f t="shared" ca="1" si="149"/>
        <v>135.87384052933447</v>
      </c>
      <c r="Y380" s="314" t="str">
        <f t="shared" ca="1" si="167"/>
        <v/>
      </c>
      <c r="Z380" s="315" t="str">
        <f t="shared" ca="1" si="168"/>
        <v/>
      </c>
      <c r="AA380" s="316" t="str">
        <f t="shared" ca="1" si="169"/>
        <v/>
      </c>
      <c r="AC380" s="310" t="e">
        <f t="shared" ca="1" si="170"/>
        <v>#N/A</v>
      </c>
      <c r="AD380" s="323" t="e">
        <f t="shared" ca="1" si="171"/>
        <v>#N/A</v>
      </c>
      <c r="AE380" s="324">
        <f t="shared" ca="1" si="150"/>
        <v>579.53037086049665</v>
      </c>
      <c r="AG380" s="306">
        <f t="shared" ca="1" si="172"/>
        <v>-31.901033363817337</v>
      </c>
      <c r="AH380" s="304">
        <f t="shared" ca="1" si="173"/>
        <v>-22.153916636786047</v>
      </c>
    </row>
    <row r="381" spans="1:34" x14ac:dyDescent="0.2">
      <c r="A381" s="347">
        <f t="shared" ca="1" si="151"/>
        <v>0.01</v>
      </c>
      <c r="B381" s="304">
        <f t="shared" ca="1" si="152"/>
        <v>3.7699999999999636</v>
      </c>
      <c r="D381" s="306">
        <f t="shared" ca="1" si="153"/>
        <v>-2.4978083618008631</v>
      </c>
      <c r="E381" s="307">
        <f t="shared" ca="1" si="154"/>
        <v>-31.754426798708991</v>
      </c>
      <c r="F381" s="304">
        <f t="shared" ca="1" si="155"/>
        <v>31.852514310911943</v>
      </c>
      <c r="G381" s="306">
        <f t="shared" ca="1" si="156"/>
        <v>25.351276987315245</v>
      </c>
      <c r="H381" s="307">
        <f t="shared" ca="1" si="157"/>
        <v>222.62484808911663</v>
      </c>
      <c r="I381" s="304">
        <f t="shared" ca="1" si="158"/>
        <v>224.06362987238654</v>
      </c>
      <c r="J381" s="306">
        <f t="shared" ca="1" si="159"/>
        <v>61.974880852355831</v>
      </c>
      <c r="K381" s="307">
        <f t="shared" ca="1" si="160"/>
        <v>581.75820706272771</v>
      </c>
      <c r="L381" s="304">
        <f t="shared" ca="1" si="145"/>
        <v>585.04999559140526</v>
      </c>
      <c r="M381" s="306">
        <f t="shared" ca="1" si="161"/>
        <v>1.4574103232060087</v>
      </c>
      <c r="N381" s="304">
        <f t="shared" ca="1" si="162"/>
        <v>83.503460538501514</v>
      </c>
      <c r="P381" s="310">
        <f t="shared" ca="1" si="163"/>
        <v>23</v>
      </c>
      <c r="Q381" s="304">
        <f t="shared" ca="1" si="164"/>
        <v>0</v>
      </c>
      <c r="R381" s="306">
        <f t="shared" ca="1" si="165"/>
        <v>0</v>
      </c>
      <c r="S381" s="307">
        <f t="shared" ca="1" si="166"/>
        <v>6.1519999999999921</v>
      </c>
      <c r="T381" s="304">
        <f t="shared" ca="1" si="146"/>
        <v>60.351119999999923</v>
      </c>
      <c r="U381" s="311">
        <f t="shared" ca="1" si="147"/>
        <v>0</v>
      </c>
      <c r="V381" s="306">
        <f t="shared" ca="1" si="148"/>
        <v>1.1557489868958533</v>
      </c>
      <c r="W381" s="304">
        <f t="shared" ca="1" si="149"/>
        <v>135.45837774165332</v>
      </c>
      <c r="Y381" s="314" t="str">
        <f t="shared" ca="1" si="167"/>
        <v/>
      </c>
      <c r="Z381" s="315" t="str">
        <f t="shared" ca="1" si="168"/>
        <v/>
      </c>
      <c r="AA381" s="316" t="str">
        <f t="shared" ca="1" si="169"/>
        <v/>
      </c>
      <c r="AC381" s="310" t="e">
        <f t="shared" ca="1" si="170"/>
        <v>#N/A</v>
      </c>
      <c r="AD381" s="323" t="e">
        <f t="shared" ca="1" si="171"/>
        <v>#N/A</v>
      </c>
      <c r="AE381" s="324">
        <f t="shared" ca="1" si="150"/>
        <v>581.75820706272771</v>
      </c>
      <c r="AG381" s="306">
        <f t="shared" ca="1" si="172"/>
        <v>-31.833186829602155</v>
      </c>
      <c r="AH381" s="304">
        <f t="shared" ca="1" si="173"/>
        <v>-22.086124923493927</v>
      </c>
    </row>
    <row r="382" spans="1:34" x14ac:dyDescent="0.2">
      <c r="A382" s="347">
        <f t="shared" ca="1" si="151"/>
        <v>0.01</v>
      </c>
      <c r="B382" s="304">
        <f t="shared" ca="1" si="152"/>
        <v>3.7799999999999634</v>
      </c>
      <c r="D382" s="306">
        <f t="shared" ca="1" si="153"/>
        <v>-2.4912540423536629</v>
      </c>
      <c r="E382" s="307">
        <f t="shared" ca="1" si="154"/>
        <v>-31.687203779828863</v>
      </c>
      <c r="F382" s="304">
        <f t="shared" ca="1" si="155"/>
        <v>31.784984349342441</v>
      </c>
      <c r="G382" s="306">
        <f t="shared" ca="1" si="156"/>
        <v>25.326364446891709</v>
      </c>
      <c r="H382" s="307">
        <f t="shared" ca="1" si="157"/>
        <v>222.30797605131835</v>
      </c>
      <c r="I382" s="304">
        <f t="shared" ca="1" si="158"/>
        <v>223.74597415848694</v>
      </c>
      <c r="J382" s="306">
        <f t="shared" ca="1" si="159"/>
        <v>62.228269059526866</v>
      </c>
      <c r="K382" s="307">
        <f t="shared" ca="1" si="160"/>
        <v>583.98287118342989</v>
      </c>
      <c r="L382" s="304">
        <f t="shared" ca="1" si="145"/>
        <v>587.28898449212147</v>
      </c>
      <c r="M382" s="306">
        <f t="shared" ca="1" si="161"/>
        <v>1.4573607162874471</v>
      </c>
      <c r="N382" s="304">
        <f t="shared" ca="1" si="162"/>
        <v>83.500618271433297</v>
      </c>
      <c r="P382" s="310">
        <f t="shared" ca="1" si="163"/>
        <v>23</v>
      </c>
      <c r="Q382" s="304">
        <f t="shared" ca="1" si="164"/>
        <v>0</v>
      </c>
      <c r="R382" s="306">
        <f t="shared" ca="1" si="165"/>
        <v>0</v>
      </c>
      <c r="S382" s="307">
        <f t="shared" ca="1" si="166"/>
        <v>6.1519999999999921</v>
      </c>
      <c r="T382" s="304">
        <f t="shared" ca="1" si="146"/>
        <v>60.351119999999923</v>
      </c>
      <c r="U382" s="311">
        <f t="shared" ca="1" si="147"/>
        <v>0</v>
      </c>
      <c r="V382" s="306">
        <f t="shared" ca="1" si="148"/>
        <v>1.1554916816461991</v>
      </c>
      <c r="W382" s="304">
        <f t="shared" ca="1" si="149"/>
        <v>135.04449870808872</v>
      </c>
      <c r="Y382" s="314" t="str">
        <f t="shared" ca="1" si="167"/>
        <v/>
      </c>
      <c r="Z382" s="315" t="str">
        <f t="shared" ca="1" si="168"/>
        <v/>
      </c>
      <c r="AA382" s="316" t="str">
        <f t="shared" ca="1" si="169"/>
        <v/>
      </c>
      <c r="AC382" s="310" t="e">
        <f t="shared" ca="1" si="170"/>
        <v>#N/A</v>
      </c>
      <c r="AD382" s="323" t="e">
        <f t="shared" ca="1" si="171"/>
        <v>#N/A</v>
      </c>
      <c r="AE382" s="324">
        <f t="shared" ca="1" si="150"/>
        <v>583.98287118342989</v>
      </c>
      <c r="AG382" s="306">
        <f t="shared" ca="1" si="172"/>
        <v>-31.765598920183862</v>
      </c>
      <c r="AH382" s="304">
        <f t="shared" ca="1" si="173"/>
        <v>-22.018591960606877</v>
      </c>
    </row>
    <row r="383" spans="1:34" x14ac:dyDescent="0.2">
      <c r="A383" s="347">
        <f t="shared" ca="1" si="151"/>
        <v>0.01</v>
      </c>
      <c r="B383" s="304">
        <f t="shared" ca="1" si="152"/>
        <v>3.7899999999999632</v>
      </c>
      <c r="D383" s="306">
        <f t="shared" ca="1" si="153"/>
        <v>-2.4847242155424416</v>
      </c>
      <c r="E383" s="307">
        <f t="shared" ca="1" si="154"/>
        <v>-31.620237018473141</v>
      </c>
      <c r="F383" s="304">
        <f t="shared" ca="1" si="155"/>
        <v>31.717711826859802</v>
      </c>
      <c r="G383" s="306">
        <f t="shared" ca="1" si="156"/>
        <v>25.301517204736285</v>
      </c>
      <c r="H383" s="307">
        <f t="shared" ca="1" si="157"/>
        <v>221.99177368113362</v>
      </c>
      <c r="I383" s="304">
        <f t="shared" ca="1" si="158"/>
        <v>223.42899175119871</v>
      </c>
      <c r="J383" s="306">
        <f t="shared" ca="1" si="159"/>
        <v>62.481408467785009</v>
      </c>
      <c r="K383" s="307">
        <f t="shared" ca="1" si="160"/>
        <v>586.20436993209216</v>
      </c>
      <c r="L383" s="304">
        <f t="shared" ca="1" si="145"/>
        <v>589.52479992923054</v>
      </c>
      <c r="M383" s="306">
        <f t="shared" ca="1" si="161"/>
        <v>1.4573110173499562</v>
      </c>
      <c r="N383" s="304">
        <f t="shared" ca="1" si="162"/>
        <v>83.497770732068773</v>
      </c>
      <c r="P383" s="310">
        <f t="shared" ca="1" si="163"/>
        <v>23</v>
      </c>
      <c r="Q383" s="304">
        <f t="shared" ca="1" si="164"/>
        <v>0</v>
      </c>
      <c r="R383" s="306">
        <f t="shared" ca="1" si="165"/>
        <v>0</v>
      </c>
      <c r="S383" s="307">
        <f t="shared" ca="1" si="166"/>
        <v>6.1519999999999921</v>
      </c>
      <c r="T383" s="304">
        <f t="shared" ca="1" si="146"/>
        <v>60.351119999999923</v>
      </c>
      <c r="U383" s="311">
        <f t="shared" ca="1" si="147"/>
        <v>0</v>
      </c>
      <c r="V383" s="306">
        <f t="shared" ca="1" si="148"/>
        <v>1.1552347979974724</v>
      </c>
      <c r="W383" s="304">
        <f t="shared" ca="1" si="149"/>
        <v>134.63219540198079</v>
      </c>
      <c r="Y383" s="314" t="str">
        <f t="shared" ca="1" si="167"/>
        <v/>
      </c>
      <c r="Z383" s="315" t="str">
        <f t="shared" ca="1" si="168"/>
        <v/>
      </c>
      <c r="AA383" s="316" t="str">
        <f t="shared" ca="1" si="169"/>
        <v/>
      </c>
      <c r="AC383" s="310" t="e">
        <f t="shared" ca="1" si="170"/>
        <v>#N/A</v>
      </c>
      <c r="AD383" s="323" t="e">
        <f t="shared" ca="1" si="171"/>
        <v>#N/A</v>
      </c>
      <c r="AE383" s="324">
        <f t="shared" ca="1" si="150"/>
        <v>586.20436993209216</v>
      </c>
      <c r="AG383" s="306">
        <f t="shared" ca="1" si="172"/>
        <v>-31.698268322132222</v>
      </c>
      <c r="AH383" s="304">
        <f t="shared" ca="1" si="173"/>
        <v>-21.951316434994943</v>
      </c>
    </row>
    <row r="384" spans="1:34" x14ac:dyDescent="0.2">
      <c r="A384" s="347">
        <f t="shared" ca="1" si="151"/>
        <v>0.01</v>
      </c>
      <c r="B384" s="304">
        <f t="shared" ca="1" si="152"/>
        <v>3.799999999999963</v>
      </c>
      <c r="D384" s="306">
        <f t="shared" ca="1" si="153"/>
        <v>-2.4782187565732241</v>
      </c>
      <c r="E384" s="307">
        <f t="shared" ca="1" si="154"/>
        <v>-31.55352521589338</v>
      </c>
      <c r="F384" s="304">
        <f t="shared" ca="1" si="155"/>
        <v>31.650695438733266</v>
      </c>
      <c r="G384" s="306">
        <f t="shared" ca="1" si="156"/>
        <v>25.276735017170552</v>
      </c>
      <c r="H384" s="307">
        <f t="shared" ca="1" si="157"/>
        <v>221.6762384289747</v>
      </c>
      <c r="I384" s="304">
        <f t="shared" ca="1" si="158"/>
        <v>223.11268009045989</v>
      </c>
      <c r="J384" s="306">
        <f t="shared" ca="1" si="159"/>
        <v>62.734299728894541</v>
      </c>
      <c r="K384" s="307">
        <f t="shared" ca="1" si="160"/>
        <v>588.42270999264269</v>
      </c>
      <c r="L384" s="304">
        <f t="shared" ca="1" si="145"/>
        <v>591.75744862026067</v>
      </c>
      <c r="M384" s="306">
        <f t="shared" ca="1" si="161"/>
        <v>1.4572612262416782</v>
      </c>
      <c r="N384" s="304">
        <f t="shared" ca="1" si="162"/>
        <v>83.494917911707176</v>
      </c>
      <c r="P384" s="310">
        <f t="shared" ca="1" si="163"/>
        <v>23</v>
      </c>
      <c r="Q384" s="304">
        <f t="shared" ca="1" si="164"/>
        <v>0</v>
      </c>
      <c r="R384" s="306">
        <f t="shared" ca="1" si="165"/>
        <v>0</v>
      </c>
      <c r="S384" s="307">
        <f t="shared" ca="1" si="166"/>
        <v>6.1519999999999921</v>
      </c>
      <c r="T384" s="304">
        <f t="shared" ca="1" si="146"/>
        <v>60.351119999999923</v>
      </c>
      <c r="U384" s="311">
        <f t="shared" ca="1" si="147"/>
        <v>0</v>
      </c>
      <c r="V384" s="306">
        <f t="shared" ca="1" si="148"/>
        <v>1.154978334922069</v>
      </c>
      <c r="W384" s="304">
        <f t="shared" ca="1" si="149"/>
        <v>134.22145984798701</v>
      </c>
      <c r="Y384" s="314" t="str">
        <f t="shared" ca="1" si="167"/>
        <v/>
      </c>
      <c r="Z384" s="315" t="str">
        <f t="shared" ca="1" si="168"/>
        <v/>
      </c>
      <c r="AA384" s="316" t="str">
        <f t="shared" ca="1" si="169"/>
        <v/>
      </c>
      <c r="AC384" s="310" t="e">
        <f t="shared" ca="1" si="170"/>
        <v>#N/A</v>
      </c>
      <c r="AD384" s="323" t="e">
        <f t="shared" ca="1" si="171"/>
        <v>#N/A</v>
      </c>
      <c r="AE384" s="324">
        <f t="shared" ca="1" si="150"/>
        <v>588.42270999264269</v>
      </c>
      <c r="AG384" s="306">
        <f t="shared" ca="1" si="172"/>
        <v>-31.631193730422261</v>
      </c>
      <c r="AH384" s="304">
        <f t="shared" ca="1" si="173"/>
        <v>-21.884297041934488</v>
      </c>
    </row>
    <row r="385" spans="1:34" x14ac:dyDescent="0.2">
      <c r="A385" s="347">
        <f t="shared" ca="1" si="151"/>
        <v>0.01</v>
      </c>
      <c r="B385" s="304">
        <f t="shared" ca="1" si="152"/>
        <v>3.8099999999999627</v>
      </c>
      <c r="D385" s="306">
        <f t="shared" ca="1" si="153"/>
        <v>-2.4717375414492819</v>
      </c>
      <c r="E385" s="307">
        <f t="shared" ca="1" si="154"/>
        <v>-31.487067081644497</v>
      </c>
      <c r="F385" s="304">
        <f t="shared" ca="1" si="155"/>
        <v>31.583933888573636</v>
      </c>
      <c r="G385" s="306">
        <f t="shared" ca="1" si="156"/>
        <v>25.252017641756058</v>
      </c>
      <c r="H385" s="307">
        <f t="shared" ca="1" si="157"/>
        <v>221.36136775815825</v>
      </c>
      <c r="I385" s="304">
        <f t="shared" ca="1" si="158"/>
        <v>222.79703662917544</v>
      </c>
      <c r="J385" s="306">
        <f t="shared" ca="1" si="159"/>
        <v>62.986943492189177</v>
      </c>
      <c r="K385" s="307">
        <f t="shared" ca="1" si="160"/>
        <v>590.63789802357837</v>
      </c>
      <c r="L385" s="304">
        <f t="shared" ca="1" si="145"/>
        <v>593.98693725720875</v>
      </c>
      <c r="M385" s="306">
        <f t="shared" ca="1" si="161"/>
        <v>1.4572113428103057</v>
      </c>
      <c r="N385" s="304">
        <f t="shared" ca="1" si="162"/>
        <v>83.492059801621892</v>
      </c>
      <c r="P385" s="310">
        <f t="shared" ca="1" si="163"/>
        <v>23</v>
      </c>
      <c r="Q385" s="304">
        <f t="shared" ca="1" si="164"/>
        <v>0</v>
      </c>
      <c r="R385" s="306">
        <f t="shared" ca="1" si="165"/>
        <v>0</v>
      </c>
      <c r="S385" s="307">
        <f t="shared" ca="1" si="166"/>
        <v>6.1519999999999921</v>
      </c>
      <c r="T385" s="304">
        <f t="shared" ca="1" si="146"/>
        <v>60.351119999999923</v>
      </c>
      <c r="U385" s="311">
        <f t="shared" ca="1" si="147"/>
        <v>0</v>
      </c>
      <c r="V385" s="306">
        <f t="shared" ca="1" si="148"/>
        <v>1.1547222913964863</v>
      </c>
      <c r="W385" s="304">
        <f t="shared" ca="1" si="149"/>
        <v>133.81228412168738</v>
      </c>
      <c r="Y385" s="314" t="str">
        <f t="shared" ca="1" si="167"/>
        <v/>
      </c>
      <c r="Z385" s="315" t="str">
        <f t="shared" ca="1" si="168"/>
        <v/>
      </c>
      <c r="AA385" s="316" t="str">
        <f t="shared" ca="1" si="169"/>
        <v/>
      </c>
      <c r="AC385" s="310" t="e">
        <f t="shared" ca="1" si="170"/>
        <v>#N/A</v>
      </c>
      <c r="AD385" s="323" t="e">
        <f t="shared" ca="1" si="171"/>
        <v>#N/A</v>
      </c>
      <c r="AE385" s="324">
        <f t="shared" ca="1" si="150"/>
        <v>590.63789802357837</v>
      </c>
      <c r="AG385" s="306">
        <f t="shared" ca="1" si="172"/>
        <v>-31.564373848369549</v>
      </c>
      <c r="AH385" s="304">
        <f t="shared" ca="1" si="173"/>
        <v>-21.817532485043429</v>
      </c>
    </row>
    <row r="386" spans="1:34" x14ac:dyDescent="0.2">
      <c r="A386" s="347">
        <f t="shared" ca="1" si="151"/>
        <v>0.01</v>
      </c>
      <c r="B386" s="304">
        <f t="shared" ca="1" si="152"/>
        <v>3.8199999999999625</v>
      </c>
      <c r="D386" s="306">
        <f t="shared" ca="1" si="153"/>
        <v>-2.4652804469649907</v>
      </c>
      <c r="E386" s="307">
        <f t="shared" ca="1" si="154"/>
        <v>-31.420861333520911</v>
      </c>
      <c r="F386" s="304">
        <f t="shared" ca="1" si="155"/>
        <v>31.517425888269134</v>
      </c>
      <c r="G386" s="306">
        <f t="shared" ca="1" si="156"/>
        <v>25.227364837286409</v>
      </c>
      <c r="H386" s="307">
        <f t="shared" ca="1" si="157"/>
        <v>221.04715914482304</v>
      </c>
      <c r="I386" s="304">
        <f t="shared" ca="1" si="158"/>
        <v>222.4820588331344</v>
      </c>
      <c r="J386" s="306">
        <f t="shared" ca="1" si="159"/>
        <v>63.239340404584389</v>
      </c>
      <c r="K386" s="307">
        <f t="shared" ca="1" si="160"/>
        <v>592.84994065809326</v>
      </c>
      <c r="L386" s="304">
        <f t="shared" ca="1" si="145"/>
        <v>596.213272506669</v>
      </c>
      <c r="M386" s="306">
        <f t="shared" ca="1" si="161"/>
        <v>1.4571613669030792</v>
      </c>
      <c r="N386" s="304">
        <f t="shared" ca="1" si="162"/>
        <v>83.489196393060482</v>
      </c>
      <c r="P386" s="310">
        <f t="shared" ca="1" si="163"/>
        <v>23</v>
      </c>
      <c r="Q386" s="304">
        <f t="shared" ca="1" si="164"/>
        <v>0</v>
      </c>
      <c r="R386" s="306">
        <f t="shared" ca="1" si="165"/>
        <v>0</v>
      </c>
      <c r="S386" s="307">
        <f t="shared" ca="1" si="166"/>
        <v>6.1519999999999921</v>
      </c>
      <c r="T386" s="304">
        <f t="shared" ca="1" si="146"/>
        <v>60.351119999999923</v>
      </c>
      <c r="U386" s="311">
        <f t="shared" ca="1" si="147"/>
        <v>0</v>
      </c>
      <c r="V386" s="306">
        <f t="shared" ca="1" si="148"/>
        <v>1.1544666664013039</v>
      </c>
      <c r="W386" s="304">
        <f t="shared" ca="1" si="149"/>
        <v>133.40466034919308</v>
      </c>
      <c r="Y386" s="314" t="str">
        <f t="shared" ca="1" si="167"/>
        <v/>
      </c>
      <c r="Z386" s="315" t="str">
        <f t="shared" ca="1" si="168"/>
        <v/>
      </c>
      <c r="AA386" s="316" t="str">
        <f t="shared" ca="1" si="169"/>
        <v/>
      </c>
      <c r="AC386" s="310" t="e">
        <f t="shared" ca="1" si="170"/>
        <v>#N/A</v>
      </c>
      <c r="AD386" s="323" t="e">
        <f t="shared" ca="1" si="171"/>
        <v>#N/A</v>
      </c>
      <c r="AE386" s="324">
        <f t="shared" ca="1" si="150"/>
        <v>592.84994065809326</v>
      </c>
      <c r="AG386" s="306">
        <f t="shared" ca="1" si="172"/>
        <v>-31.497807387565999</v>
      </c>
      <c r="AH386" s="304">
        <f t="shared" ca="1" si="173"/>
        <v>-21.751021476217094</v>
      </c>
    </row>
    <row r="387" spans="1:34" x14ac:dyDescent="0.2">
      <c r="A387" s="347">
        <f t="shared" ca="1" si="151"/>
        <v>0.01</v>
      </c>
      <c r="B387" s="304">
        <f t="shared" ca="1" si="152"/>
        <v>3.8299999999999623</v>
      </c>
      <c r="D387" s="306">
        <f t="shared" ca="1" si="153"/>
        <v>-2.4588473506997599</v>
      </c>
      <c r="E387" s="307">
        <f t="shared" ca="1" si="154"/>
        <v>-31.354906697493185</v>
      </c>
      <c r="F387" s="304">
        <f t="shared" ca="1" si="155"/>
        <v>31.451170157921727</v>
      </c>
      <c r="G387" s="306">
        <f t="shared" ca="1" si="156"/>
        <v>25.20277636377941</v>
      </c>
      <c r="H387" s="307">
        <f t="shared" ca="1" si="157"/>
        <v>220.73361007784811</v>
      </c>
      <c r="I387" s="304">
        <f t="shared" ca="1" si="158"/>
        <v>222.16774418092777</v>
      </c>
      <c r="J387" s="306">
        <f t="shared" ca="1" si="159"/>
        <v>63.49149111058972</v>
      </c>
      <c r="K387" s="307">
        <f t="shared" ca="1" si="160"/>
        <v>595.0588445042066</v>
      </c>
      <c r="L387" s="304">
        <f t="shared" ca="1" si="145"/>
        <v>598.43646100996193</v>
      </c>
      <c r="M387" s="306">
        <f t="shared" ca="1" si="161"/>
        <v>1.4571112983667864</v>
      </c>
      <c r="N387" s="304">
        <f t="shared" ca="1" si="162"/>
        <v>83.486327677244503</v>
      </c>
      <c r="P387" s="310">
        <f t="shared" ca="1" si="163"/>
        <v>23</v>
      </c>
      <c r="Q387" s="304">
        <f t="shared" ca="1" si="164"/>
        <v>0</v>
      </c>
      <c r="R387" s="306">
        <f t="shared" ca="1" si="165"/>
        <v>0</v>
      </c>
      <c r="S387" s="307">
        <f t="shared" ca="1" si="166"/>
        <v>6.1519999999999921</v>
      </c>
      <c r="T387" s="304">
        <f t="shared" ca="1" si="146"/>
        <v>60.351119999999923</v>
      </c>
      <c r="U387" s="311">
        <f t="shared" ca="1" si="147"/>
        <v>0</v>
      </c>
      <c r="V387" s="306">
        <f t="shared" ca="1" si="148"/>
        <v>1.1542114589211605</v>
      </c>
      <c r="W387" s="304">
        <f t="shared" ca="1" si="149"/>
        <v>132.99858070675867</v>
      </c>
      <c r="Y387" s="314" t="str">
        <f t="shared" ca="1" si="167"/>
        <v/>
      </c>
      <c r="Z387" s="315" t="str">
        <f t="shared" ca="1" si="168"/>
        <v/>
      </c>
      <c r="AA387" s="316" t="str">
        <f t="shared" ca="1" si="169"/>
        <v/>
      </c>
      <c r="AC387" s="310" t="e">
        <f t="shared" ca="1" si="170"/>
        <v>#N/A</v>
      </c>
      <c r="AD387" s="323" t="e">
        <f t="shared" ca="1" si="171"/>
        <v>#N/A</v>
      </c>
      <c r="AE387" s="324">
        <f t="shared" ca="1" si="150"/>
        <v>595.0588445042066</v>
      </c>
      <c r="AG387" s="306">
        <f t="shared" ca="1" si="172"/>
        <v>-31.431493067816255</v>
      </c>
      <c r="AH387" s="304">
        <f t="shared" ca="1" si="173"/>
        <v>-21.684762735564572</v>
      </c>
    </row>
    <row r="388" spans="1:34" x14ac:dyDescent="0.2">
      <c r="A388" s="347">
        <f t="shared" ca="1" si="151"/>
        <v>0.01</v>
      </c>
      <c r="B388" s="304">
        <f t="shared" ca="1" si="152"/>
        <v>3.8399999999999621</v>
      </c>
      <c r="D388" s="306">
        <f t="shared" ca="1" si="153"/>
        <v>-2.4524381310119971</v>
      </c>
      <c r="E388" s="307">
        <f t="shared" ca="1" si="154"/>
        <v>-31.2892019076453</v>
      </c>
      <c r="F388" s="304">
        <f t="shared" ca="1" si="155"/>
        <v>31.385165425784137</v>
      </c>
      <c r="G388" s="306">
        <f t="shared" ca="1" si="156"/>
        <v>25.178251982469291</v>
      </c>
      <c r="H388" s="307">
        <f t="shared" ca="1" si="157"/>
        <v>220.42071805877166</v>
      </c>
      <c r="I388" s="304">
        <f t="shared" ca="1" si="158"/>
        <v>221.854090163867</v>
      </c>
      <c r="J388" s="306">
        <f t="shared" ca="1" si="159"/>
        <v>63.743396252320963</v>
      </c>
      <c r="K388" s="307">
        <f t="shared" ca="1" si="160"/>
        <v>597.26461614488971</v>
      </c>
      <c r="L388" s="304">
        <f t="shared" ref="L388:L451" ca="1" si="174">SQRT(pos_x^2+pos_z^2)</f>
        <v>600.65650938326053</v>
      </c>
      <c r="M388" s="306">
        <f t="shared" ca="1" si="161"/>
        <v>1.4570611370477606</v>
      </c>
      <c r="N388" s="304">
        <f t="shared" ca="1" si="162"/>
        <v>83.483453645369522</v>
      </c>
      <c r="P388" s="310">
        <f t="shared" ca="1" si="163"/>
        <v>23</v>
      </c>
      <c r="Q388" s="304">
        <f t="shared" ca="1" si="164"/>
        <v>0</v>
      </c>
      <c r="R388" s="306">
        <f t="shared" ca="1" si="165"/>
        <v>0</v>
      </c>
      <c r="S388" s="307">
        <f t="shared" ca="1" si="166"/>
        <v>6.1519999999999921</v>
      </c>
      <c r="T388" s="304">
        <f t="shared" ref="T388:T451" ca="1" si="175">m*g</f>
        <v>60.351119999999923</v>
      </c>
      <c r="U388" s="311">
        <f t="shared" ref="U388:U451" ca="1" si="176">IF(pos_xz&lt;L_rampe,Poids*COS(Beta),0)</f>
        <v>0</v>
      </c>
      <c r="V388" s="306">
        <f t="shared" ref="V388:V451" ca="1" si="177">Rho_moyen*(20000-Alt_rampe-pos_z)/(20000+Alt_rampe+pos_z)</f>
        <v>1.1539566679447331</v>
      </c>
      <c r="W388" s="304">
        <f t="shared" ref="W388:W451" ca="1" si="178">1/2*Rho*Sref*Cx*vit_xz^2</f>
        <v>132.59403742039777</v>
      </c>
      <c r="Y388" s="314" t="str">
        <f t="shared" ca="1" si="167"/>
        <v/>
      </c>
      <c r="Z388" s="315" t="str">
        <f t="shared" ca="1" si="168"/>
        <v/>
      </c>
      <c r="AA388" s="316" t="str">
        <f t="shared" ca="1" si="169"/>
        <v/>
      </c>
      <c r="AC388" s="310" t="e">
        <f t="shared" ca="1" si="170"/>
        <v>#N/A</v>
      </c>
      <c r="AD388" s="323" t="e">
        <f t="shared" ca="1" si="171"/>
        <v>#N/A</v>
      </c>
      <c r="AE388" s="324">
        <f t="shared" ref="AE388:AE451" ca="1" si="179">IF(t&lt;T_para, pos_z, NA())</f>
        <v>597.26461614488971</v>
      </c>
      <c r="AG388" s="306">
        <f t="shared" ca="1" si="172"/>
        <v>-31.365429617074668</v>
      </c>
      <c r="AH388" s="304">
        <f t="shared" ca="1" si="173"/>
        <v>-21.618754991345714</v>
      </c>
    </row>
    <row r="389" spans="1:34" x14ac:dyDescent="0.2">
      <c r="A389" s="347">
        <f t="shared" ref="A389:A452" ca="1" si="180">IF(B388+0.01&lt;=T_ini+ROUNDUP(Temps_fin_propu,0), 0.01, IF(K388&gt;0, 0.1, 0.0001))</f>
        <v>0.01</v>
      </c>
      <c r="B389" s="304">
        <f t="shared" ref="B389:B452" ca="1" si="181">B388+pas</f>
        <v>3.8499999999999619</v>
      </c>
      <c r="D389" s="306">
        <f t="shared" ref="D389:D452" ca="1" si="182">IF(AND(L388&lt;L_rampe,Poussee&lt;Poids*SIN(M388)),0,(-W388+Poussee)/m*COS(M388)-U388/m*SIN(M388))</f>
        <v>-2.4460526670331464</v>
      </c>
      <c r="E389" s="307">
        <f t="shared" ref="E389:E452" ca="1" si="183">IF(AND(L388&lt;L_rampe,Poussee&lt;Poids*SIN(M388)),0,(-W388+Poussee)/m*SIN(M388)+U388/m*COS(M388)-Poids/m)</f>
        <v>-31.223745706112489</v>
      </c>
      <c r="F389" s="304">
        <f t="shared" ref="F389:F452" ca="1" si="184">SQRT(acc_x^2+acc_z^2)</f>
        <v>31.319410428197369</v>
      </c>
      <c r="G389" s="306">
        <f t="shared" ref="G389:G452" ca="1" si="185">G388+acc_x*pas</f>
        <v>25.153791455798959</v>
      </c>
      <c r="H389" s="307">
        <f t="shared" ref="H389:H452" ca="1" si="186">H388+acc_z*pas</f>
        <v>220.10848060171054</v>
      </c>
      <c r="I389" s="304">
        <f t="shared" ref="I389:I452" ca="1" si="187">SQRT(vit_x^2+vit_z^2)</f>
        <v>221.54109428590309</v>
      </c>
      <c r="J389" s="306">
        <f t="shared" ref="J389:J452" ca="1" si="188">J388+0.5*(vit_x+G388)*pas*(K388&gt;=0)</f>
        <v>63.995056469512306</v>
      </c>
      <c r="K389" s="307">
        <f t="shared" ref="K389:K452" ca="1" si="189">K388+0.5*(vit_z+H388)*pas</f>
        <v>599.46726213819215</v>
      </c>
      <c r="L389" s="304">
        <f t="shared" ca="1" si="174"/>
        <v>602.87342421771757</v>
      </c>
      <c r="M389" s="306">
        <f t="shared" ref="M389:M452" ca="1" si="190">IF(AND(L388&gt;L_rampe,G389&gt;0),ATAN2(G389,H389),$M$4)</f>
        <v>1.4570108827918793</v>
      </c>
      <c r="N389" s="304">
        <f t="shared" ref="N389:N452" ca="1" si="191">DEGREES(Beta)</f>
        <v>83.480574288604942</v>
      </c>
      <c r="P389" s="310">
        <f t="shared" ref="P389:P452" ca="1" si="192">MATCH(t-pas/2-T_ini,CdP_t)</f>
        <v>23</v>
      </c>
      <c r="Q389" s="304">
        <f t="shared" ref="Q389:Q452" ca="1" si="193">(INDEX(CdP,2,i_P+1)-INDEX(CdP,2,i_P+0))/(INDEX(CdP,1,i_P+1)-INDEX(CdP,1,i_P+0))*(t-pas/2-T_ini-INDEX(CdP,1,i_P+0))+INDEX(CdP,2,i_P+0)</f>
        <v>0</v>
      </c>
      <c r="R389" s="306">
        <f t="shared" ref="R389:R452" ca="1" si="194">Poussee/(g*ISP)</f>
        <v>0</v>
      </c>
      <c r="S389" s="307">
        <f t="shared" ref="S389:S452" ca="1" si="195">S388-Débit*pas</f>
        <v>6.1519999999999921</v>
      </c>
      <c r="T389" s="304">
        <f t="shared" ca="1" si="175"/>
        <v>60.351119999999923</v>
      </c>
      <c r="U389" s="311">
        <f t="shared" ca="1" si="176"/>
        <v>0</v>
      </c>
      <c r="V389" s="306">
        <f t="shared" ca="1" si="177"/>
        <v>1.1537022924647169</v>
      </c>
      <c r="W389" s="304">
        <f t="shared" ca="1" si="178"/>
        <v>132.19102276550234</v>
      </c>
      <c r="Y389" s="314" t="str">
        <f t="shared" ref="Y389:Y452" ca="1" si="196">IF(AND(pos_z&lt;=0,K388&gt;0),"Impact balistique","") &amp; IF(AND(H390&lt;0,vit_z&gt;=0),"Apogée","") &amp; IF(AND(Poussee=0,Q388&gt;0),"Fin de propulsion","") &amp; IF(AND(L390&gt;L_rampe,pos_xz&lt;=L_rampe),"Sortie de rampe","")</f>
        <v/>
      </c>
      <c r="Z389" s="315" t="str">
        <f t="shared" ref="Z389:Z452" ca="1" si="197">IF(ABS(t-T_para)&lt;pas/2,"Para","")</f>
        <v/>
      </c>
      <c r="AA389" s="316" t="str">
        <f t="shared" ref="AA389:AA452" ca="1" si="198">IF(ABS(t-T_satellite)&lt;pas/2,"Satellite","")</f>
        <v/>
      </c>
      <c r="AC389" s="310" t="e">
        <f t="shared" ref="AC389:AC452" ca="1" si="199">IF(ABS(t-ROUND(t,0))&lt;0.001,t,NA())</f>
        <v>#N/A</v>
      </c>
      <c r="AD389" s="323" t="e">
        <f t="shared" ref="AD389:AD452" ca="1" si="200">IF(ABS(t-ROUND(t,0))&lt;0.001,pos_x,NA())</f>
        <v>#N/A</v>
      </c>
      <c r="AE389" s="324">
        <f t="shared" ca="1" si="179"/>
        <v>599.46726213819215</v>
      </c>
      <c r="AG389" s="306">
        <f t="shared" ref="AG389:AG452" ca="1" si="201">IF(AND(L388&lt;L_rampe,Poussee&lt;Poids*SIN(M388)),0,(-W388+Poussee)/m-Poids*SIN(M388)/m)</f>
        <v>-31.299615771382804</v>
      </c>
      <c r="AH389" s="304">
        <f t="shared" ref="AH389:AH452" ca="1" si="202">IF(AND(L388&lt;L_rampe,Poussee&lt;Poids*SIN(M388)), g*SIN(M388), (-W388+Poussee)/m)</f>
        <v>-21.552996979908638</v>
      </c>
    </row>
    <row r="390" spans="1:34" x14ac:dyDescent="0.2">
      <c r="A390" s="347">
        <f t="shared" ca="1" si="180"/>
        <v>0.01</v>
      </c>
      <c r="B390" s="304">
        <f t="shared" ca="1" si="181"/>
        <v>3.8599999999999617</v>
      </c>
      <c r="D390" s="306">
        <f t="shared" ca="1" si="182"/>
        <v>-2.4396908386617682</v>
      </c>
      <c r="E390" s="307">
        <f t="shared" ca="1" si="183"/>
        <v>-31.158536843019576</v>
      </c>
      <c r="F390" s="304">
        <f t="shared" ca="1" si="184"/>
        <v>31.253903909528781</v>
      </c>
      <c r="G390" s="306">
        <f t="shared" ca="1" si="185"/>
        <v>25.129394547412343</v>
      </c>
      <c r="H390" s="307">
        <f t="shared" ca="1" si="186"/>
        <v>219.79689523328034</v>
      </c>
      <c r="I390" s="304">
        <f t="shared" ca="1" si="187"/>
        <v>221.22875406354649</v>
      </c>
      <c r="J390" s="306">
        <f t="shared" ca="1" si="188"/>
        <v>64.246472399528358</v>
      </c>
      <c r="K390" s="307">
        <f t="shared" ca="1" si="189"/>
        <v>601.66678901736714</v>
      </c>
      <c r="L390" s="304">
        <f t="shared" ca="1" si="174"/>
        <v>605.08721207959127</v>
      </c>
      <c r="M390" s="306">
        <f t="shared" ca="1" si="190"/>
        <v>1.4569605354445629</v>
      </c>
      <c r="N390" s="304">
        <f t="shared" ca="1" si="191"/>
        <v>83.477689598094045</v>
      </c>
      <c r="P390" s="310">
        <f t="shared" ca="1" si="192"/>
        <v>23</v>
      </c>
      <c r="Q390" s="304">
        <f t="shared" ca="1" si="193"/>
        <v>0</v>
      </c>
      <c r="R390" s="306">
        <f t="shared" ca="1" si="194"/>
        <v>0</v>
      </c>
      <c r="S390" s="307">
        <f t="shared" ca="1" si="195"/>
        <v>6.1519999999999921</v>
      </c>
      <c r="T390" s="304">
        <f t="shared" ca="1" si="175"/>
        <v>60.351119999999923</v>
      </c>
      <c r="U390" s="311">
        <f t="shared" ca="1" si="176"/>
        <v>0</v>
      </c>
      <c r="V390" s="306">
        <f t="shared" ca="1" si="177"/>
        <v>1.1534483314778019</v>
      </c>
      <c r="W390" s="304">
        <f t="shared" ca="1" si="178"/>
        <v>131.78952906646498</v>
      </c>
      <c r="Y390" s="314" t="str">
        <f t="shared" ca="1" si="196"/>
        <v/>
      </c>
      <c r="Z390" s="315" t="str">
        <f t="shared" ca="1" si="197"/>
        <v/>
      </c>
      <c r="AA390" s="316" t="str">
        <f t="shared" ca="1" si="198"/>
        <v/>
      </c>
      <c r="AC390" s="310" t="e">
        <f t="shared" ca="1" si="199"/>
        <v>#N/A</v>
      </c>
      <c r="AD390" s="323" t="e">
        <f t="shared" ca="1" si="200"/>
        <v>#N/A</v>
      </c>
      <c r="AE390" s="324">
        <f t="shared" ca="1" si="179"/>
        <v>601.66678901736714</v>
      </c>
      <c r="AG390" s="306">
        <f t="shared" ca="1" si="201"/>
        <v>-31.234050274807554</v>
      </c>
      <c r="AH390" s="304">
        <f t="shared" ca="1" si="202"/>
        <v>-21.487487445627846</v>
      </c>
    </row>
    <row r="391" spans="1:34" x14ac:dyDescent="0.2">
      <c r="A391" s="347">
        <f t="shared" ca="1" si="180"/>
        <v>0.01</v>
      </c>
      <c r="B391" s="304">
        <f t="shared" ca="1" si="181"/>
        <v>3.8699999999999615</v>
      </c>
      <c r="D391" s="306">
        <f t="shared" ca="1" si="182"/>
        <v>-2.4333525265576674</v>
      </c>
      <c r="E391" s="307">
        <f t="shared" ca="1" si="183"/>
        <v>-31.093574076419927</v>
      </c>
      <c r="F391" s="304">
        <f t="shared" ca="1" si="184"/>
        <v>31.188644622110754</v>
      </c>
      <c r="G391" s="306">
        <f t="shared" ca="1" si="185"/>
        <v>25.105061022146767</v>
      </c>
      <c r="H391" s="307">
        <f t="shared" ca="1" si="186"/>
        <v>219.48595949251614</v>
      </c>
      <c r="I391" s="304">
        <f t="shared" ca="1" si="187"/>
        <v>220.91706702578719</v>
      </c>
      <c r="J391" s="306">
        <f t="shared" ca="1" si="188"/>
        <v>64.497644677376158</v>
      </c>
      <c r="K391" s="307">
        <f t="shared" ca="1" si="189"/>
        <v>603.86320329099613</v>
      </c>
      <c r="L391" s="304">
        <f t="shared" ca="1" si="174"/>
        <v>607.29787951037008</v>
      </c>
      <c r="M391" s="306">
        <f t="shared" ca="1" si="190"/>
        <v>1.4569100948507738</v>
      </c>
      <c r="N391" s="304">
        <f t="shared" ca="1" si="191"/>
        <v>83.474799564953784</v>
      </c>
      <c r="P391" s="310">
        <f t="shared" ca="1" si="192"/>
        <v>23</v>
      </c>
      <c r="Q391" s="304">
        <f t="shared" ca="1" si="193"/>
        <v>0</v>
      </c>
      <c r="R391" s="306">
        <f t="shared" ca="1" si="194"/>
        <v>0</v>
      </c>
      <c r="S391" s="307">
        <f t="shared" ca="1" si="195"/>
        <v>6.1519999999999921</v>
      </c>
      <c r="T391" s="304">
        <f t="shared" ca="1" si="175"/>
        <v>60.351119999999923</v>
      </c>
      <c r="U391" s="311">
        <f t="shared" ca="1" si="176"/>
        <v>0</v>
      </c>
      <c r="V391" s="306">
        <f t="shared" ca="1" si="177"/>
        <v>1.1531947839846546</v>
      </c>
      <c r="W391" s="304">
        <f t="shared" ca="1" si="178"/>
        <v>131.38954869630498</v>
      </c>
      <c r="Y391" s="314" t="str">
        <f t="shared" ca="1" si="196"/>
        <v/>
      </c>
      <c r="Z391" s="315" t="str">
        <f t="shared" ca="1" si="197"/>
        <v/>
      </c>
      <c r="AA391" s="316" t="str">
        <f t="shared" ca="1" si="198"/>
        <v/>
      </c>
      <c r="AC391" s="310" t="e">
        <f t="shared" ca="1" si="199"/>
        <v>#N/A</v>
      </c>
      <c r="AD391" s="323" t="e">
        <f t="shared" ca="1" si="200"/>
        <v>#N/A</v>
      </c>
      <c r="AE391" s="324">
        <f t="shared" ca="1" si="179"/>
        <v>603.86320329099613</v>
      </c>
      <c r="AG391" s="306">
        <f t="shared" ca="1" si="201"/>
        <v>-31.168731879379749</v>
      </c>
      <c r="AH391" s="304">
        <f t="shared" ca="1" si="202"/>
        <v>-21.422225140842841</v>
      </c>
    </row>
    <row r="392" spans="1:34" x14ac:dyDescent="0.2">
      <c r="A392" s="347">
        <f t="shared" ca="1" si="180"/>
        <v>0.01</v>
      </c>
      <c r="B392" s="304">
        <f t="shared" ca="1" si="181"/>
        <v>3.8799999999999613</v>
      </c>
      <c r="D392" s="306">
        <f t="shared" ca="1" si="182"/>
        <v>-2.427037612136083</v>
      </c>
      <c r="E392" s="307">
        <f t="shared" ca="1" si="183"/>
        <v>-31.028856172234917</v>
      </c>
      <c r="F392" s="304">
        <f t="shared" ca="1" si="184"/>
        <v>31.123631326179858</v>
      </c>
      <c r="G392" s="306">
        <f t="shared" ca="1" si="185"/>
        <v>25.080790646025406</v>
      </c>
      <c r="H392" s="307">
        <f t="shared" ca="1" si="186"/>
        <v>219.17567093079379</v>
      </c>
      <c r="I392" s="304">
        <f t="shared" ca="1" si="187"/>
        <v>220.60603071401599</v>
      </c>
      <c r="J392" s="306">
        <f t="shared" ca="1" si="188"/>
        <v>64.748573935717019</v>
      </c>
      <c r="K392" s="307">
        <f t="shared" ca="1" si="189"/>
        <v>606.05651144311264</v>
      </c>
      <c r="L392" s="304">
        <f t="shared" ca="1" si="174"/>
        <v>609.50543302689653</v>
      </c>
      <c r="M392" s="306">
        <f t="shared" ca="1" si="190"/>
        <v>1.4568595608550143</v>
      </c>
      <c r="N392" s="304">
        <f t="shared" ca="1" si="191"/>
        <v>83.471904180274834</v>
      </c>
      <c r="P392" s="310">
        <f t="shared" ca="1" si="192"/>
        <v>23</v>
      </c>
      <c r="Q392" s="304">
        <f t="shared" ca="1" si="193"/>
        <v>0</v>
      </c>
      <c r="R392" s="306">
        <f t="shared" ca="1" si="194"/>
        <v>0</v>
      </c>
      <c r="S392" s="307">
        <f t="shared" ca="1" si="195"/>
        <v>6.1519999999999921</v>
      </c>
      <c r="T392" s="304">
        <f t="shared" ca="1" si="175"/>
        <v>60.351119999999923</v>
      </c>
      <c r="U392" s="311">
        <f t="shared" ca="1" si="176"/>
        <v>0</v>
      </c>
      <c r="V392" s="306">
        <f t="shared" ca="1" si="177"/>
        <v>1.1529416489898954</v>
      </c>
      <c r="W392" s="304">
        <f t="shared" ca="1" si="178"/>
        <v>130.99107407629762</v>
      </c>
      <c r="Y392" s="314" t="str">
        <f t="shared" ca="1" si="196"/>
        <v/>
      </c>
      <c r="Z392" s="315" t="str">
        <f t="shared" ca="1" si="197"/>
        <v/>
      </c>
      <c r="AA392" s="316" t="str">
        <f t="shared" ca="1" si="198"/>
        <v/>
      </c>
      <c r="AC392" s="310" t="e">
        <f t="shared" ca="1" si="199"/>
        <v>#N/A</v>
      </c>
      <c r="AD392" s="323" t="e">
        <f t="shared" ca="1" si="200"/>
        <v>#N/A</v>
      </c>
      <c r="AE392" s="324">
        <f t="shared" ca="1" si="179"/>
        <v>606.05651144311264</v>
      </c>
      <c r="AG392" s="306">
        <f t="shared" ca="1" si="201"/>
        <v>-31.10365934503335</v>
      </c>
      <c r="AH392" s="304">
        <f t="shared" ca="1" si="202"/>
        <v>-21.357208825797326</v>
      </c>
    </row>
    <row r="393" spans="1:34" x14ac:dyDescent="0.2">
      <c r="A393" s="347">
        <f t="shared" ca="1" si="180"/>
        <v>0.01</v>
      </c>
      <c r="B393" s="304">
        <f t="shared" ca="1" si="181"/>
        <v>3.889999999999961</v>
      </c>
      <c r="D393" s="306">
        <f t="shared" ca="1" si="182"/>
        <v>-2.4207459775619307</v>
      </c>
      <c r="E393" s="307">
        <f t="shared" ca="1" si="183"/>
        <v>-30.964381904193942</v>
      </c>
      <c r="F393" s="304">
        <f t="shared" ca="1" si="184"/>
        <v>31.058862789816622</v>
      </c>
      <c r="G393" s="306">
        <f t="shared" ca="1" si="185"/>
        <v>25.056583186249785</v>
      </c>
      <c r="H393" s="307">
        <f t="shared" ca="1" si="186"/>
        <v>218.86602711175183</v>
      </c>
      <c r="I393" s="304">
        <f t="shared" ca="1" si="187"/>
        <v>220.29564268194579</v>
      </c>
      <c r="J393" s="306">
        <f t="shared" ca="1" si="188"/>
        <v>64.999260804878389</v>
      </c>
      <c r="K393" s="307">
        <f t="shared" ca="1" si="189"/>
        <v>608.24671993332538</v>
      </c>
      <c r="L393" s="304">
        <f t="shared" ca="1" si="174"/>
        <v>611.70987912149144</v>
      </c>
      <c r="M393" s="306">
        <f t="shared" ca="1" si="190"/>
        <v>1.4568089333013254</v>
      </c>
      <c r="N393" s="304">
        <f t="shared" ca="1" si="191"/>
        <v>83.469003435121394</v>
      </c>
      <c r="P393" s="310">
        <f t="shared" ca="1" si="192"/>
        <v>23</v>
      </c>
      <c r="Q393" s="304">
        <f t="shared" ca="1" si="193"/>
        <v>0</v>
      </c>
      <c r="R393" s="306">
        <f t="shared" ca="1" si="194"/>
        <v>0</v>
      </c>
      <c r="S393" s="307">
        <f t="shared" ca="1" si="195"/>
        <v>6.1519999999999921</v>
      </c>
      <c r="T393" s="304">
        <f t="shared" ca="1" si="175"/>
        <v>60.351119999999923</v>
      </c>
      <c r="U393" s="311">
        <f t="shared" ca="1" si="176"/>
        <v>0</v>
      </c>
      <c r="V393" s="306">
        <f t="shared" ca="1" si="177"/>
        <v>1.1526889255020785</v>
      </c>
      <c r="W393" s="304">
        <f t="shared" ca="1" si="178"/>
        <v>130.59409767560672</v>
      </c>
      <c r="Y393" s="314" t="str">
        <f t="shared" ca="1" si="196"/>
        <v/>
      </c>
      <c r="Z393" s="315" t="str">
        <f t="shared" ca="1" si="197"/>
        <v/>
      </c>
      <c r="AA393" s="316" t="str">
        <f t="shared" ca="1" si="198"/>
        <v/>
      </c>
      <c r="AC393" s="310" t="e">
        <f t="shared" ca="1" si="199"/>
        <v>#N/A</v>
      </c>
      <c r="AD393" s="323" t="e">
        <f t="shared" ca="1" si="200"/>
        <v>#N/A</v>
      </c>
      <c r="AE393" s="324">
        <f t="shared" ca="1" si="179"/>
        <v>608.24671993332538</v>
      </c>
      <c r="AG393" s="306">
        <f t="shared" ca="1" si="201"/>
        <v>-31.038831439545216</v>
      </c>
      <c r="AH393" s="304">
        <f t="shared" ca="1" si="202"/>
        <v>-21.292437268578965</v>
      </c>
    </row>
    <row r="394" spans="1:34" x14ac:dyDescent="0.2">
      <c r="A394" s="347">
        <f t="shared" ca="1" si="180"/>
        <v>0.01</v>
      </c>
      <c r="B394" s="304">
        <f t="shared" ca="1" si="181"/>
        <v>3.8999999999999608</v>
      </c>
      <c r="D394" s="306">
        <f t="shared" ca="1" si="182"/>
        <v>-2.414477505744097</v>
      </c>
      <c r="E394" s="307">
        <f t="shared" ca="1" si="183"/>
        <v>-30.900150053774965</v>
      </c>
      <c r="F394" s="304">
        <f t="shared" ca="1" si="184"/>
        <v>30.994337788885783</v>
      </c>
      <c r="G394" s="306">
        <f t="shared" ca="1" si="185"/>
        <v>25.032438411192345</v>
      </c>
      <c r="H394" s="307">
        <f t="shared" ca="1" si="186"/>
        <v>218.55702561121407</v>
      </c>
      <c r="I394" s="304">
        <f t="shared" ca="1" si="187"/>
        <v>219.98590049553408</v>
      </c>
      <c r="J394" s="306">
        <f t="shared" ca="1" si="188"/>
        <v>65.249705912865593</v>
      </c>
      <c r="K394" s="307">
        <f t="shared" ca="1" si="189"/>
        <v>610.43383519694021</v>
      </c>
      <c r="L394" s="304">
        <f t="shared" ca="1" si="174"/>
        <v>613.91122426207573</v>
      </c>
      <c r="M394" s="306">
        <f t="shared" ca="1" si="190"/>
        <v>1.4567582120332858</v>
      </c>
      <c r="N394" s="304">
        <f t="shared" ca="1" si="191"/>
        <v>83.466097320531176</v>
      </c>
      <c r="P394" s="310">
        <f t="shared" ca="1" si="192"/>
        <v>23</v>
      </c>
      <c r="Q394" s="304">
        <f t="shared" ca="1" si="193"/>
        <v>0</v>
      </c>
      <c r="R394" s="306">
        <f t="shared" ca="1" si="194"/>
        <v>0</v>
      </c>
      <c r="S394" s="307">
        <f t="shared" ca="1" si="195"/>
        <v>6.1519999999999921</v>
      </c>
      <c r="T394" s="304">
        <f t="shared" ca="1" si="175"/>
        <v>60.351119999999923</v>
      </c>
      <c r="U394" s="311">
        <f t="shared" ca="1" si="176"/>
        <v>0</v>
      </c>
      <c r="V394" s="306">
        <f t="shared" ca="1" si="177"/>
        <v>1.1524366125336722</v>
      </c>
      <c r="W394" s="304">
        <f t="shared" ca="1" si="178"/>
        <v>130.19861201092044</v>
      </c>
      <c r="Y394" s="314" t="str">
        <f t="shared" ca="1" si="196"/>
        <v/>
      </c>
      <c r="Z394" s="315" t="str">
        <f t="shared" ca="1" si="197"/>
        <v/>
      </c>
      <c r="AA394" s="316" t="str">
        <f t="shared" ca="1" si="198"/>
        <v/>
      </c>
      <c r="AC394" s="310" t="e">
        <f t="shared" ca="1" si="199"/>
        <v>#N/A</v>
      </c>
      <c r="AD394" s="323" t="e">
        <f t="shared" ca="1" si="200"/>
        <v>#N/A</v>
      </c>
      <c r="AE394" s="324">
        <f t="shared" ca="1" si="179"/>
        <v>610.43383519694021</v>
      </c>
      <c r="AG394" s="306">
        <f t="shared" ca="1" si="201"/>
        <v>-30.974246938475339</v>
      </c>
      <c r="AH394" s="304">
        <f t="shared" ca="1" si="202"/>
        <v>-21.227909245059635</v>
      </c>
    </row>
    <row r="395" spans="1:34" x14ac:dyDescent="0.2">
      <c r="A395" s="347">
        <f t="shared" ca="1" si="180"/>
        <v>0.01</v>
      </c>
      <c r="B395" s="304">
        <f t="shared" ca="1" si="181"/>
        <v>3.9099999999999606</v>
      </c>
      <c r="D395" s="306">
        <f t="shared" ca="1" si="182"/>
        <v>-2.4082320803297739</v>
      </c>
      <c r="E395" s="307">
        <f t="shared" ca="1" si="183"/>
        <v>-30.836159410145598</v>
      </c>
      <c r="F395" s="304">
        <f t="shared" ca="1" si="184"/>
        <v>30.930055106977104</v>
      </c>
      <c r="G395" s="306">
        <f t="shared" ca="1" si="185"/>
        <v>25.008356090389046</v>
      </c>
      <c r="H395" s="307">
        <f t="shared" ca="1" si="186"/>
        <v>218.24866401711262</v>
      </c>
      <c r="I395" s="304">
        <f t="shared" ca="1" si="187"/>
        <v>219.67680173290535</v>
      </c>
      <c r="J395" s="306">
        <f t="shared" ca="1" si="188"/>
        <v>65.499909885373498</v>
      </c>
      <c r="K395" s="307">
        <f t="shared" ca="1" si="189"/>
        <v>612.6178636450818</v>
      </c>
      <c r="L395" s="304">
        <f t="shared" ca="1" si="174"/>
        <v>616.10947489229227</v>
      </c>
      <c r="M395" s="306">
        <f t="shared" ca="1" si="190"/>
        <v>1.4567073968940101</v>
      </c>
      <c r="N395" s="304">
        <f t="shared" ca="1" si="191"/>
        <v>83.463185827515304</v>
      </c>
      <c r="P395" s="310">
        <f t="shared" ca="1" si="192"/>
        <v>23</v>
      </c>
      <c r="Q395" s="304">
        <f t="shared" ca="1" si="193"/>
        <v>0</v>
      </c>
      <c r="R395" s="306">
        <f t="shared" ca="1" si="194"/>
        <v>0</v>
      </c>
      <c r="S395" s="307">
        <f t="shared" ca="1" si="195"/>
        <v>6.1519999999999921</v>
      </c>
      <c r="T395" s="304">
        <f t="shared" ca="1" si="175"/>
        <v>60.351119999999923</v>
      </c>
      <c r="U395" s="311">
        <f t="shared" ca="1" si="176"/>
        <v>0</v>
      </c>
      <c r="V395" s="306">
        <f t="shared" ca="1" si="177"/>
        <v>1.1521847091010384</v>
      </c>
      <c r="W395" s="304">
        <f t="shared" ca="1" si="178"/>
        <v>129.80460964609046</v>
      </c>
      <c r="Y395" s="314" t="str">
        <f t="shared" ca="1" si="196"/>
        <v/>
      </c>
      <c r="Z395" s="315" t="str">
        <f t="shared" ca="1" si="197"/>
        <v/>
      </c>
      <c r="AA395" s="316" t="str">
        <f t="shared" ca="1" si="198"/>
        <v/>
      </c>
      <c r="AC395" s="310" t="e">
        <f t="shared" ca="1" si="199"/>
        <v>#N/A</v>
      </c>
      <c r="AD395" s="323" t="e">
        <f t="shared" ca="1" si="200"/>
        <v>#N/A</v>
      </c>
      <c r="AE395" s="324">
        <f t="shared" ca="1" si="179"/>
        <v>612.6178636450818</v>
      </c>
      <c r="AG395" s="306">
        <f t="shared" ca="1" si="201"/>
        <v>-30.909904625107671</v>
      </c>
      <c r="AH395" s="304">
        <f t="shared" ca="1" si="202"/>
        <v>-21.163623538836251</v>
      </c>
    </row>
    <row r="396" spans="1:34" x14ac:dyDescent="0.2">
      <c r="A396" s="347">
        <f t="shared" ca="1" si="180"/>
        <v>0.01</v>
      </c>
      <c r="B396" s="304">
        <f t="shared" ca="1" si="181"/>
        <v>3.9199999999999604</v>
      </c>
      <c r="D396" s="306">
        <f t="shared" ca="1" si="182"/>
        <v>-2.4020095856988517</v>
      </c>
      <c r="E396" s="307">
        <f t="shared" ca="1" si="183"/>
        <v>-30.772408770104711</v>
      </c>
      <c r="F396" s="304">
        <f t="shared" ca="1" si="184"/>
        <v>30.866013535346713</v>
      </c>
      <c r="G396" s="306">
        <f t="shared" ca="1" si="185"/>
        <v>24.984335994532056</v>
      </c>
      <c r="H396" s="307">
        <f t="shared" ca="1" si="186"/>
        <v>217.94093992941157</v>
      </c>
      <c r="I396" s="304">
        <f t="shared" ca="1" si="187"/>
        <v>219.36834398427467</v>
      </c>
      <c r="J396" s="306">
        <f t="shared" ca="1" si="188"/>
        <v>65.749873345798107</v>
      </c>
      <c r="K396" s="307">
        <f t="shared" ca="1" si="189"/>
        <v>614.79881166481437</v>
      </c>
      <c r="L396" s="304">
        <f t="shared" ca="1" si="174"/>
        <v>618.3046374316275</v>
      </c>
      <c r="M396" s="306">
        <f t="shared" ca="1" si="190"/>
        <v>1.4566564877261474</v>
      </c>
      <c r="N396" s="304">
        <f t="shared" ca="1" si="191"/>
        <v>83.460268947058253</v>
      </c>
      <c r="P396" s="310">
        <f t="shared" ca="1" si="192"/>
        <v>23</v>
      </c>
      <c r="Q396" s="304">
        <f t="shared" ca="1" si="193"/>
        <v>0</v>
      </c>
      <c r="R396" s="306">
        <f t="shared" ca="1" si="194"/>
        <v>0</v>
      </c>
      <c r="S396" s="307">
        <f t="shared" ca="1" si="195"/>
        <v>6.1519999999999921</v>
      </c>
      <c r="T396" s="304">
        <f t="shared" ca="1" si="175"/>
        <v>60.351119999999923</v>
      </c>
      <c r="U396" s="311">
        <f t="shared" ca="1" si="176"/>
        <v>0</v>
      </c>
      <c r="V396" s="306">
        <f t="shared" ca="1" si="177"/>
        <v>1.1519332142244103</v>
      </c>
      <c r="W396" s="304">
        <f t="shared" ca="1" si="178"/>
        <v>129.41208319177392</v>
      </c>
      <c r="Y396" s="314" t="str">
        <f t="shared" ca="1" si="196"/>
        <v/>
      </c>
      <c r="Z396" s="315" t="str">
        <f t="shared" ca="1" si="197"/>
        <v/>
      </c>
      <c r="AA396" s="316" t="str">
        <f t="shared" ca="1" si="198"/>
        <v/>
      </c>
      <c r="AC396" s="310" t="e">
        <f t="shared" ca="1" si="199"/>
        <v>#N/A</v>
      </c>
      <c r="AD396" s="323" t="e">
        <f t="shared" ca="1" si="200"/>
        <v>#N/A</v>
      </c>
      <c r="AE396" s="324">
        <f t="shared" ca="1" si="179"/>
        <v>614.79881166481437</v>
      </c>
      <c r="AG396" s="306">
        <f t="shared" ca="1" si="201"/>
        <v>-30.84580329039143</v>
      </c>
      <c r="AH396" s="304">
        <f t="shared" ca="1" si="202"/>
        <v>-21.099578941172076</v>
      </c>
    </row>
    <row r="397" spans="1:34" x14ac:dyDescent="0.2">
      <c r="A397" s="347">
        <f t="shared" ca="1" si="180"/>
        <v>0.01</v>
      </c>
      <c r="B397" s="304">
        <f t="shared" ca="1" si="181"/>
        <v>3.9299999999999602</v>
      </c>
      <c r="D397" s="306">
        <f t="shared" ca="1" si="182"/>
        <v>-2.3958099069583634</v>
      </c>
      <c r="E397" s="307">
        <f t="shared" ca="1" si="183"/>
        <v>-30.708896938024509</v>
      </c>
      <c r="F397" s="304">
        <f t="shared" ca="1" si="184"/>
        <v>30.802211872858919</v>
      </c>
      <c r="G397" s="306">
        <f t="shared" ca="1" si="185"/>
        <v>24.960377895462472</v>
      </c>
      <c r="H397" s="307">
        <f t="shared" ca="1" si="186"/>
        <v>217.63385096003134</v>
      </c>
      <c r="I397" s="304">
        <f t="shared" ca="1" si="187"/>
        <v>219.06052485187152</v>
      </c>
      <c r="J397" s="306">
        <f t="shared" ca="1" si="188"/>
        <v>65.999596915248077</v>
      </c>
      <c r="K397" s="307">
        <f t="shared" ca="1" si="189"/>
        <v>616.97668561926162</v>
      </c>
      <c r="L397" s="304">
        <f t="shared" ca="1" si="174"/>
        <v>620.49671827553152</v>
      </c>
      <c r="M397" s="306">
        <f t="shared" ca="1" si="190"/>
        <v>1.4566054843718808</v>
      </c>
      <c r="N397" s="304">
        <f t="shared" ca="1" si="191"/>
        <v>83.457346670117758</v>
      </c>
      <c r="P397" s="310">
        <f t="shared" ca="1" si="192"/>
        <v>23</v>
      </c>
      <c r="Q397" s="304">
        <f t="shared" ca="1" si="193"/>
        <v>0</v>
      </c>
      <c r="R397" s="306">
        <f t="shared" ca="1" si="194"/>
        <v>0</v>
      </c>
      <c r="S397" s="307">
        <f t="shared" ca="1" si="195"/>
        <v>6.1519999999999921</v>
      </c>
      <c r="T397" s="304">
        <f t="shared" ca="1" si="175"/>
        <v>60.351119999999923</v>
      </c>
      <c r="U397" s="311">
        <f t="shared" ca="1" si="176"/>
        <v>0</v>
      </c>
      <c r="V397" s="306">
        <f t="shared" ca="1" si="177"/>
        <v>1.1516821269278752</v>
      </c>
      <c r="W397" s="304">
        <f t="shared" ca="1" si="178"/>
        <v>129.02102530507918</v>
      </c>
      <c r="Y397" s="314" t="str">
        <f t="shared" ca="1" si="196"/>
        <v/>
      </c>
      <c r="Z397" s="315" t="str">
        <f t="shared" ca="1" si="197"/>
        <v/>
      </c>
      <c r="AA397" s="316" t="str">
        <f t="shared" ca="1" si="198"/>
        <v/>
      </c>
      <c r="AC397" s="310" t="e">
        <f t="shared" ca="1" si="199"/>
        <v>#N/A</v>
      </c>
      <c r="AD397" s="323" t="e">
        <f t="shared" ca="1" si="200"/>
        <v>#N/A</v>
      </c>
      <c r="AE397" s="324">
        <f t="shared" ca="1" si="179"/>
        <v>616.97668561926162</v>
      </c>
      <c r="AG397" s="306">
        <f t="shared" ca="1" si="201"/>
        <v>-30.781941732882952</v>
      </c>
      <c r="AH397" s="304">
        <f t="shared" ca="1" si="202"/>
        <v>-21.035774250938569</v>
      </c>
    </row>
    <row r="398" spans="1:34" x14ac:dyDescent="0.2">
      <c r="A398" s="347">
        <f t="shared" ca="1" si="180"/>
        <v>0.01</v>
      </c>
      <c r="B398" s="304">
        <f t="shared" ca="1" si="181"/>
        <v>3.93999999999996</v>
      </c>
      <c r="D398" s="306">
        <f t="shared" ca="1" si="182"/>
        <v>-2.3896329299369623</v>
      </c>
      <c r="E398" s="307">
        <f t="shared" ca="1" si="183"/>
        <v>-30.645622725793196</v>
      </c>
      <c r="F398" s="304">
        <f t="shared" ca="1" si="184"/>
        <v>30.738648925928601</v>
      </c>
      <c r="G398" s="306">
        <f t="shared" ca="1" si="185"/>
        <v>24.936481566163103</v>
      </c>
      <c r="H398" s="307">
        <f t="shared" ca="1" si="186"/>
        <v>217.3273947327734</v>
      </c>
      <c r="I398" s="304">
        <f t="shared" ca="1" si="187"/>
        <v>218.75334194986439</v>
      </c>
      <c r="J398" s="306">
        <f t="shared" ca="1" si="188"/>
        <v>66.249081212556206</v>
      </c>
      <c r="K398" s="307">
        <f t="shared" ca="1" si="189"/>
        <v>619.15149184772565</v>
      </c>
      <c r="L398" s="304">
        <f t="shared" ca="1" si="174"/>
        <v>622.68572379553734</v>
      </c>
      <c r="M398" s="306">
        <f t="shared" ca="1" si="190"/>
        <v>1.4565543866729243</v>
      </c>
      <c r="N398" s="304">
        <f t="shared" ca="1" si="191"/>
        <v>83.45441898762472</v>
      </c>
      <c r="P398" s="310">
        <f t="shared" ca="1" si="192"/>
        <v>23</v>
      </c>
      <c r="Q398" s="304">
        <f t="shared" ca="1" si="193"/>
        <v>0</v>
      </c>
      <c r="R398" s="306">
        <f t="shared" ca="1" si="194"/>
        <v>0</v>
      </c>
      <c r="S398" s="307">
        <f t="shared" ca="1" si="195"/>
        <v>6.1519999999999921</v>
      </c>
      <c r="T398" s="304">
        <f t="shared" ca="1" si="175"/>
        <v>60.351119999999923</v>
      </c>
      <c r="U398" s="311">
        <f t="shared" ca="1" si="176"/>
        <v>0</v>
      </c>
      <c r="V398" s="306">
        <f t="shared" ca="1" si="177"/>
        <v>1.1514314462393529</v>
      </c>
      <c r="W398" s="304">
        <f t="shared" ca="1" si="178"/>
        <v>128.6314286892146</v>
      </c>
      <c r="Y398" s="314" t="str">
        <f t="shared" ca="1" si="196"/>
        <v/>
      </c>
      <c r="Z398" s="315" t="str">
        <f t="shared" ca="1" si="197"/>
        <v/>
      </c>
      <c r="AA398" s="316" t="str">
        <f t="shared" ca="1" si="198"/>
        <v/>
      </c>
      <c r="AC398" s="310" t="e">
        <f t="shared" ca="1" si="199"/>
        <v>#N/A</v>
      </c>
      <c r="AD398" s="323" t="e">
        <f t="shared" ca="1" si="200"/>
        <v>#N/A</v>
      </c>
      <c r="AE398" s="324">
        <f t="shared" ca="1" si="179"/>
        <v>619.15149184772565</v>
      </c>
      <c r="AG398" s="306">
        <f t="shared" ca="1" si="201"/>
        <v>-30.718318758688042</v>
      </c>
      <c r="AH398" s="304">
        <f t="shared" ca="1" si="202"/>
        <v>-20.972208274557762</v>
      </c>
    </row>
    <row r="399" spans="1:34" x14ac:dyDescent="0.2">
      <c r="A399" s="347">
        <f t="shared" ca="1" si="180"/>
        <v>0.01</v>
      </c>
      <c r="B399" s="304">
        <f t="shared" ca="1" si="181"/>
        <v>3.9499999999999598</v>
      </c>
      <c r="D399" s="306">
        <f t="shared" ca="1" si="182"/>
        <v>-2.3834785411794912</v>
      </c>
      <c r="E399" s="307">
        <f t="shared" ca="1" si="183"/>
        <v>-30.582584952758147</v>
      </c>
      <c r="F399" s="304">
        <f t="shared" ca="1" si="184"/>
        <v>30.675323508464132</v>
      </c>
      <c r="G399" s="306">
        <f t="shared" ca="1" si="185"/>
        <v>24.912646780751309</v>
      </c>
      <c r="H399" s="307">
        <f t="shared" ca="1" si="186"/>
        <v>217.02156888324581</v>
      </c>
      <c r="I399" s="304">
        <f t="shared" ca="1" si="187"/>
        <v>218.44679290428567</v>
      </c>
      <c r="J399" s="306">
        <f t="shared" ca="1" si="188"/>
        <v>66.498326854290781</v>
      </c>
      <c r="K399" s="307">
        <f t="shared" ca="1" si="189"/>
        <v>621.32323666580578</v>
      </c>
      <c r="L399" s="304">
        <f t="shared" ca="1" si="174"/>
        <v>624.87166033937956</v>
      </c>
      <c r="M399" s="306">
        <f t="shared" ca="1" si="190"/>
        <v>1.4565031944705227</v>
      </c>
      <c r="N399" s="304">
        <f t="shared" ca="1" si="191"/>
        <v>83.451485890483127</v>
      </c>
      <c r="P399" s="310">
        <f t="shared" ca="1" si="192"/>
        <v>23</v>
      </c>
      <c r="Q399" s="304">
        <f t="shared" ca="1" si="193"/>
        <v>0</v>
      </c>
      <c r="R399" s="306">
        <f t="shared" ca="1" si="194"/>
        <v>0</v>
      </c>
      <c r="S399" s="307">
        <f t="shared" ca="1" si="195"/>
        <v>6.1519999999999921</v>
      </c>
      <c r="T399" s="304">
        <f t="shared" ca="1" si="175"/>
        <v>60.351119999999923</v>
      </c>
      <c r="U399" s="311">
        <f t="shared" ca="1" si="176"/>
        <v>0</v>
      </c>
      <c r="V399" s="306">
        <f t="shared" ca="1" si="177"/>
        <v>1.1511811711905766</v>
      </c>
      <c r="W399" s="304">
        <f t="shared" ca="1" si="178"/>
        <v>128.24328609313955</v>
      </c>
      <c r="Y399" s="314" t="str">
        <f t="shared" ca="1" si="196"/>
        <v/>
      </c>
      <c r="Z399" s="315" t="str">
        <f t="shared" ca="1" si="197"/>
        <v/>
      </c>
      <c r="AA399" s="316" t="str">
        <f t="shared" ca="1" si="198"/>
        <v/>
      </c>
      <c r="AC399" s="310" t="e">
        <f t="shared" ca="1" si="199"/>
        <v>#N/A</v>
      </c>
      <c r="AD399" s="323" t="e">
        <f t="shared" ca="1" si="200"/>
        <v>#N/A</v>
      </c>
      <c r="AE399" s="324">
        <f t="shared" ca="1" si="179"/>
        <v>621.32323666580578</v>
      </c>
      <c r="AG399" s="306">
        <f t="shared" ca="1" si="201"/>
        <v>-30.654933181404921</v>
      </c>
      <c r="AH399" s="304">
        <f t="shared" ca="1" si="202"/>
        <v>-20.908879825945181</v>
      </c>
    </row>
    <row r="400" spans="1:34" x14ac:dyDescent="0.2">
      <c r="A400" s="347">
        <f t="shared" ca="1" si="180"/>
        <v>0.01</v>
      </c>
      <c r="B400" s="304">
        <f t="shared" ca="1" si="181"/>
        <v>3.9599999999999596</v>
      </c>
      <c r="D400" s="306">
        <f t="shared" ca="1" si="182"/>
        <v>-2.3773466279415412</v>
      </c>
      <c r="E400" s="307">
        <f t="shared" ca="1" si="183"/>
        <v>-30.51978244566947</v>
      </c>
      <c r="F400" s="304">
        <f t="shared" ca="1" si="184"/>
        <v>30.612234441810671</v>
      </c>
      <c r="G400" s="306">
        <f t="shared" ca="1" si="185"/>
        <v>24.888873314471894</v>
      </c>
      <c r="H400" s="307">
        <f t="shared" ca="1" si="186"/>
        <v>216.71637105878912</v>
      </c>
      <c r="I400" s="304">
        <f t="shared" ca="1" si="187"/>
        <v>218.14087535295764</v>
      </c>
      <c r="J400" s="306">
        <f t="shared" ca="1" si="188"/>
        <v>66.7473344547669</v>
      </c>
      <c r="K400" s="307">
        <f t="shared" ca="1" si="189"/>
        <v>623.49192636551595</v>
      </c>
      <c r="L400" s="304">
        <f t="shared" ca="1" si="174"/>
        <v>627.05453423111339</v>
      </c>
      <c r="M400" s="306">
        <f t="shared" ca="1" si="190"/>
        <v>1.4564519076054501</v>
      </c>
      <c r="N400" s="304">
        <f t="shared" ca="1" si="191"/>
        <v>83.448547369570008</v>
      </c>
      <c r="P400" s="310">
        <f t="shared" ca="1" si="192"/>
        <v>23</v>
      </c>
      <c r="Q400" s="304">
        <f t="shared" ca="1" si="193"/>
        <v>0</v>
      </c>
      <c r="R400" s="306">
        <f t="shared" ca="1" si="194"/>
        <v>0</v>
      </c>
      <c r="S400" s="307">
        <f t="shared" ca="1" si="195"/>
        <v>6.1519999999999921</v>
      </c>
      <c r="T400" s="304">
        <f t="shared" ca="1" si="175"/>
        <v>60.351119999999923</v>
      </c>
      <c r="U400" s="311">
        <f t="shared" ca="1" si="176"/>
        <v>0</v>
      </c>
      <c r="V400" s="306">
        <f t="shared" ca="1" si="177"/>
        <v>1.1509313008170716</v>
      </c>
      <c r="W400" s="304">
        <f t="shared" ca="1" si="178"/>
        <v>127.85659031122002</v>
      </c>
      <c r="Y400" s="314" t="str">
        <f t="shared" ca="1" si="196"/>
        <v/>
      </c>
      <c r="Z400" s="315" t="str">
        <f t="shared" ca="1" si="197"/>
        <v/>
      </c>
      <c r="AA400" s="316" t="str">
        <f t="shared" ca="1" si="198"/>
        <v/>
      </c>
      <c r="AC400" s="310" t="e">
        <f t="shared" ca="1" si="199"/>
        <v>#N/A</v>
      </c>
      <c r="AD400" s="323" t="e">
        <f t="shared" ca="1" si="200"/>
        <v>#N/A</v>
      </c>
      <c r="AE400" s="324">
        <f t="shared" ca="1" si="179"/>
        <v>623.49192636551595</v>
      </c>
      <c r="AG400" s="306">
        <f t="shared" ca="1" si="201"/>
        <v>-30.591783822067473</v>
      </c>
      <c r="AH400" s="304">
        <f t="shared" ca="1" si="202"/>
        <v>-20.845787726453139</v>
      </c>
    </row>
    <row r="401" spans="1:34" x14ac:dyDescent="0.2">
      <c r="A401" s="347">
        <f t="shared" ca="1" si="180"/>
        <v>0.01</v>
      </c>
      <c r="B401" s="304">
        <f t="shared" ca="1" si="181"/>
        <v>3.9699999999999593</v>
      </c>
      <c r="D401" s="306">
        <f t="shared" ca="1" si="182"/>
        <v>-2.371237078184099</v>
      </c>
      <c r="E401" s="307">
        <f t="shared" ca="1" si="183"/>
        <v>-30.457214038624237</v>
      </c>
      <c r="F401" s="304">
        <f t="shared" ca="1" si="184"/>
        <v>30.549380554694139</v>
      </c>
      <c r="G401" s="306">
        <f t="shared" ca="1" si="185"/>
        <v>24.865160943690054</v>
      </c>
      <c r="H401" s="307">
        <f t="shared" ca="1" si="186"/>
        <v>216.41179891840287</v>
      </c>
      <c r="I401" s="304">
        <f t="shared" ca="1" si="187"/>
        <v>217.83558694541819</v>
      </c>
      <c r="J401" s="306">
        <f t="shared" ca="1" si="188"/>
        <v>66.996104626057715</v>
      </c>
      <c r="K401" s="307">
        <f t="shared" ca="1" si="189"/>
        <v>625.65756721540185</v>
      </c>
      <c r="L401" s="304">
        <f t="shared" ca="1" si="174"/>
        <v>629.23435177123054</v>
      </c>
      <c r="M401" s="306">
        <f t="shared" ca="1" si="190"/>
        <v>1.4564005259180079</v>
      </c>
      <c r="N401" s="304">
        <f t="shared" ca="1" si="191"/>
        <v>83.44560341573532</v>
      </c>
      <c r="P401" s="310">
        <f t="shared" ca="1" si="192"/>
        <v>23</v>
      </c>
      <c r="Q401" s="304">
        <f t="shared" ca="1" si="193"/>
        <v>0</v>
      </c>
      <c r="R401" s="306">
        <f t="shared" ca="1" si="194"/>
        <v>0</v>
      </c>
      <c r="S401" s="307">
        <f t="shared" ca="1" si="195"/>
        <v>6.1519999999999921</v>
      </c>
      <c r="T401" s="304">
        <f t="shared" ca="1" si="175"/>
        <v>60.351119999999923</v>
      </c>
      <c r="U401" s="311">
        <f t="shared" ca="1" si="176"/>
        <v>0</v>
      </c>
      <c r="V401" s="306">
        <f t="shared" ca="1" si="177"/>
        <v>1.1506818341581395</v>
      </c>
      <c r="W401" s="304">
        <f t="shared" ca="1" si="178"/>
        <v>127.47133418288588</v>
      </c>
      <c r="Y401" s="314" t="str">
        <f t="shared" ca="1" si="196"/>
        <v/>
      </c>
      <c r="Z401" s="315" t="str">
        <f t="shared" ca="1" si="197"/>
        <v/>
      </c>
      <c r="AA401" s="316" t="str">
        <f t="shared" ca="1" si="198"/>
        <v/>
      </c>
      <c r="AC401" s="310" t="e">
        <f t="shared" ca="1" si="199"/>
        <v>#N/A</v>
      </c>
      <c r="AD401" s="323" t="e">
        <f t="shared" ca="1" si="200"/>
        <v>#N/A</v>
      </c>
      <c r="AE401" s="324">
        <f t="shared" ca="1" si="179"/>
        <v>625.65756721540185</v>
      </c>
      <c r="AG401" s="306">
        <f t="shared" ca="1" si="201"/>
        <v>-30.528869509089279</v>
      </c>
      <c r="AH401" s="304">
        <f t="shared" ca="1" si="202"/>
        <v>-20.782930804814725</v>
      </c>
    </row>
    <row r="402" spans="1:34" x14ac:dyDescent="0.2">
      <c r="A402" s="347">
        <f t="shared" ca="1" si="180"/>
        <v>0.01</v>
      </c>
      <c r="B402" s="304">
        <f t="shared" ca="1" si="181"/>
        <v>3.9799999999999591</v>
      </c>
      <c r="D402" s="306">
        <f t="shared" ca="1" si="182"/>
        <v>-2.3651497805682302</v>
      </c>
      <c r="E402" s="307">
        <f t="shared" ca="1" si="183"/>
        <v>-30.394878573011063</v>
      </c>
      <c r="F402" s="304">
        <f t="shared" ca="1" si="184"/>
        <v>30.486760683165553</v>
      </c>
      <c r="G402" s="306">
        <f t="shared" ca="1" si="185"/>
        <v>24.84150944588437</v>
      </c>
      <c r="H402" s="307">
        <f t="shared" ca="1" si="186"/>
        <v>216.10785013267275</v>
      </c>
      <c r="I402" s="304">
        <f t="shared" ca="1" si="187"/>
        <v>217.53092534284801</v>
      </c>
      <c r="J402" s="306">
        <f t="shared" ca="1" si="188"/>
        <v>67.244637978005585</v>
      </c>
      <c r="K402" s="307">
        <f t="shared" ca="1" si="189"/>
        <v>627.82016546065722</v>
      </c>
      <c r="L402" s="304">
        <f t="shared" ca="1" si="174"/>
        <v>631.41111923677749</v>
      </c>
      <c r="M402" s="306">
        <f t="shared" ca="1" si="190"/>
        <v>1.4563490492480238</v>
      </c>
      <c r="N402" s="304">
        <f t="shared" ca="1" si="191"/>
        <v>83.442654019801836</v>
      </c>
      <c r="P402" s="310">
        <f t="shared" ca="1" si="192"/>
        <v>23</v>
      </c>
      <c r="Q402" s="304">
        <f t="shared" ca="1" si="193"/>
        <v>0</v>
      </c>
      <c r="R402" s="306">
        <f t="shared" ca="1" si="194"/>
        <v>0</v>
      </c>
      <c r="S402" s="307">
        <f t="shared" ca="1" si="195"/>
        <v>6.1519999999999921</v>
      </c>
      <c r="T402" s="304">
        <f t="shared" ca="1" si="175"/>
        <v>60.351119999999923</v>
      </c>
      <c r="U402" s="311">
        <f t="shared" ca="1" si="176"/>
        <v>0</v>
      </c>
      <c r="V402" s="306">
        <f t="shared" ca="1" si="177"/>
        <v>1.1504327702568347</v>
      </c>
      <c r="W402" s="304">
        <f t="shared" ca="1" si="178"/>
        <v>127.08751059229188</v>
      </c>
      <c r="Y402" s="314" t="str">
        <f t="shared" ca="1" si="196"/>
        <v/>
      </c>
      <c r="Z402" s="315" t="str">
        <f t="shared" ca="1" si="197"/>
        <v/>
      </c>
      <c r="AA402" s="316" t="str">
        <f t="shared" ca="1" si="198"/>
        <v/>
      </c>
      <c r="AC402" s="310" t="e">
        <f t="shared" ca="1" si="199"/>
        <v>#N/A</v>
      </c>
      <c r="AD402" s="323" t="e">
        <f t="shared" ca="1" si="200"/>
        <v>#N/A</v>
      </c>
      <c r="AE402" s="324">
        <f t="shared" ca="1" si="179"/>
        <v>627.82016546065722</v>
      </c>
      <c r="AG402" s="306">
        <f t="shared" ca="1" si="201"/>
        <v>-30.466189078207886</v>
      </c>
      <c r="AH402" s="304">
        <f t="shared" ca="1" si="202"/>
        <v>-20.720307897088109</v>
      </c>
    </row>
    <row r="403" spans="1:34" x14ac:dyDescent="0.2">
      <c r="A403" s="347">
        <f t="shared" ca="1" si="180"/>
        <v>0.01</v>
      </c>
      <c r="B403" s="304">
        <f t="shared" ca="1" si="181"/>
        <v>3.9899999999999589</v>
      </c>
      <c r="D403" s="306">
        <f t="shared" ca="1" si="182"/>
        <v>-2.359084624449812</v>
      </c>
      <c r="E403" s="307">
        <f t="shared" ca="1" si="183"/>
        <v>-30.332774897455231</v>
      </c>
      <c r="F403" s="304">
        <f t="shared" ca="1" si="184"/>
        <v>30.424373670545886</v>
      </c>
      <c r="G403" s="306">
        <f t="shared" ca="1" si="185"/>
        <v>24.817918599639871</v>
      </c>
      <c r="H403" s="307">
        <f t="shared" ca="1" si="186"/>
        <v>215.80452238369821</v>
      </c>
      <c r="I403" s="304">
        <f t="shared" ca="1" si="187"/>
        <v>217.22688821799767</v>
      </c>
      <c r="J403" s="306">
        <f t="shared" ca="1" si="188"/>
        <v>67.492935118233206</v>
      </c>
      <c r="K403" s="307">
        <f t="shared" ca="1" si="189"/>
        <v>629.9797273232391</v>
      </c>
      <c r="L403" s="304">
        <f t="shared" ca="1" si="174"/>
        <v>633.58484288146974</v>
      </c>
      <c r="M403" s="306">
        <f t="shared" ca="1" si="190"/>
        <v>1.4562974774348501</v>
      </c>
      <c r="N403" s="304">
        <f t="shared" ca="1" si="191"/>
        <v>83.439699172565142</v>
      </c>
      <c r="P403" s="310">
        <f t="shared" ca="1" si="192"/>
        <v>23</v>
      </c>
      <c r="Q403" s="304">
        <f t="shared" ca="1" si="193"/>
        <v>0</v>
      </c>
      <c r="R403" s="306">
        <f t="shared" ca="1" si="194"/>
        <v>0</v>
      </c>
      <c r="S403" s="307">
        <f t="shared" ca="1" si="195"/>
        <v>6.1519999999999921</v>
      </c>
      <c r="T403" s="304">
        <f t="shared" ca="1" si="175"/>
        <v>60.351119999999923</v>
      </c>
      <c r="U403" s="311">
        <f t="shared" ca="1" si="176"/>
        <v>0</v>
      </c>
      <c r="V403" s="306">
        <f t="shared" ca="1" si="177"/>
        <v>1.1501841081599453</v>
      </c>
      <c r="W403" s="304">
        <f t="shared" ca="1" si="178"/>
        <v>126.70511246798131</v>
      </c>
      <c r="Y403" s="314" t="str">
        <f t="shared" ca="1" si="196"/>
        <v/>
      </c>
      <c r="Z403" s="315" t="str">
        <f t="shared" ca="1" si="197"/>
        <v/>
      </c>
      <c r="AA403" s="316" t="str">
        <f t="shared" ca="1" si="198"/>
        <v/>
      </c>
      <c r="AC403" s="310" t="e">
        <f t="shared" ca="1" si="199"/>
        <v>#N/A</v>
      </c>
      <c r="AD403" s="323" t="e">
        <f t="shared" ca="1" si="200"/>
        <v>#N/A</v>
      </c>
      <c r="AE403" s="324">
        <f t="shared" ca="1" si="179"/>
        <v>629.9797273232391</v>
      </c>
      <c r="AG403" s="306">
        <f t="shared" ca="1" si="201"/>
        <v>-30.4037413724297</v>
      </c>
      <c r="AH403" s="304">
        <f t="shared" ca="1" si="202"/>
        <v>-20.657917846601435</v>
      </c>
    </row>
    <row r="404" spans="1:34" x14ac:dyDescent="0.2">
      <c r="A404" s="347">
        <f t="shared" ca="1" si="180"/>
        <v>0.01</v>
      </c>
      <c r="B404" s="304">
        <f t="shared" ca="1" si="181"/>
        <v>3.9999999999999587</v>
      </c>
      <c r="D404" s="306">
        <f t="shared" ca="1" si="182"/>
        <v>-2.3530414998742968</v>
      </c>
      <c r="E404" s="307">
        <f t="shared" ca="1" si="183"/>
        <v>-30.270901867764302</v>
      </c>
      <c r="F404" s="304">
        <f t="shared" ca="1" si="184"/>
        <v>30.36221836737143</v>
      </c>
      <c r="G404" s="306">
        <f t="shared" ca="1" si="185"/>
        <v>24.794388184641129</v>
      </c>
      <c r="H404" s="307">
        <f t="shared" ca="1" si="186"/>
        <v>215.50181336502058</v>
      </c>
      <c r="I404" s="304">
        <f t="shared" ca="1" si="187"/>
        <v>216.92347325511557</v>
      </c>
      <c r="J404" s="306">
        <f t="shared" ca="1" si="188"/>
        <v>67.740996652154607</v>
      </c>
      <c r="K404" s="307">
        <f t="shared" ca="1" si="189"/>
        <v>632.13625900198269</v>
      </c>
      <c r="L404" s="304">
        <f t="shared" ca="1" si="174"/>
        <v>635.755528935808</v>
      </c>
      <c r="M404" s="306">
        <f t="shared" ca="1" si="190"/>
        <v>1.4562458103173623</v>
      </c>
      <c r="N404" s="304">
        <f t="shared" ca="1" si="191"/>
        <v>83.436738864793497</v>
      </c>
      <c r="P404" s="310">
        <f t="shared" ca="1" si="192"/>
        <v>23</v>
      </c>
      <c r="Q404" s="304">
        <f t="shared" ca="1" si="193"/>
        <v>0</v>
      </c>
      <c r="R404" s="306">
        <f t="shared" ca="1" si="194"/>
        <v>0</v>
      </c>
      <c r="S404" s="307">
        <f t="shared" ca="1" si="195"/>
        <v>6.1519999999999921</v>
      </c>
      <c r="T404" s="304">
        <f t="shared" ca="1" si="175"/>
        <v>60.351119999999923</v>
      </c>
      <c r="U404" s="311">
        <f t="shared" ca="1" si="176"/>
        <v>0</v>
      </c>
      <c r="V404" s="306">
        <f t="shared" ca="1" si="177"/>
        <v>1.1499358469179786</v>
      </c>
      <c r="W404" s="304">
        <f t="shared" ca="1" si="178"/>
        <v>126.32413278255329</v>
      </c>
      <c r="Y404" s="314" t="str">
        <f t="shared" ca="1" si="196"/>
        <v/>
      </c>
      <c r="Z404" s="315" t="str">
        <f t="shared" ca="1" si="197"/>
        <v/>
      </c>
      <c r="AA404" s="316" t="str">
        <f t="shared" ca="1" si="198"/>
        <v/>
      </c>
      <c r="AC404" s="310">
        <f t="shared" ca="1" si="199"/>
        <v>3.9999999999999587</v>
      </c>
      <c r="AD404" s="323">
        <f t="shared" ca="1" si="200"/>
        <v>67.740996652154607</v>
      </c>
      <c r="AE404" s="324">
        <f t="shared" ca="1" si="179"/>
        <v>632.13625900198269</v>
      </c>
      <c r="AG404" s="306">
        <f t="shared" ca="1" si="201"/>
        <v>-30.341525241975319</v>
      </c>
      <c r="AH404" s="304">
        <f t="shared" ca="1" si="202"/>
        <v>-20.595759503898158</v>
      </c>
    </row>
    <row r="405" spans="1:34" x14ac:dyDescent="0.2">
      <c r="A405" s="347">
        <f t="shared" ca="1" si="180"/>
        <v>0.1</v>
      </c>
      <c r="B405" s="304">
        <f t="shared" ca="1" si="181"/>
        <v>4.0999999999999588</v>
      </c>
      <c r="D405" s="306">
        <f t="shared" ca="1" si="182"/>
        <v>-2.3470202975715542</v>
      </c>
      <c r="E405" s="307">
        <f t="shared" ca="1" si="183"/>
        <v>-30.209258346874236</v>
      </c>
      <c r="F405" s="304">
        <f t="shared" ca="1" si="184"/>
        <v>30.300293631339674</v>
      </c>
      <c r="G405" s="306">
        <f t="shared" ca="1" si="185"/>
        <v>24.559686154883973</v>
      </c>
      <c r="H405" s="307">
        <f t="shared" ca="1" si="186"/>
        <v>212.48088753033315</v>
      </c>
      <c r="I405" s="304">
        <f t="shared" ca="1" si="187"/>
        <v>213.89554869072074</v>
      </c>
      <c r="J405" s="306">
        <f t="shared" ca="1" si="188"/>
        <v>70.208700369130867</v>
      </c>
      <c r="K405" s="307">
        <f t="shared" ca="1" si="189"/>
        <v>653.53539404675041</v>
      </c>
      <c r="L405" s="304">
        <f t="shared" ca="1" si="174"/>
        <v>657.29580318100602</v>
      </c>
      <c r="M405" s="306">
        <f t="shared" ca="1" si="190"/>
        <v>1.4557215896640108</v>
      </c>
      <c r="N405" s="304">
        <f t="shared" ca="1" si="191"/>
        <v>83.406703233822867</v>
      </c>
      <c r="P405" s="310">
        <f t="shared" ca="1" si="192"/>
        <v>23</v>
      </c>
      <c r="Q405" s="304">
        <f t="shared" ca="1" si="193"/>
        <v>0</v>
      </c>
      <c r="R405" s="306">
        <f t="shared" ca="1" si="194"/>
        <v>0</v>
      </c>
      <c r="S405" s="307">
        <f t="shared" ca="1" si="195"/>
        <v>6.1519999999999921</v>
      </c>
      <c r="T405" s="304">
        <f t="shared" ca="1" si="175"/>
        <v>60.351119999999923</v>
      </c>
      <c r="U405" s="311">
        <f t="shared" ca="1" si="176"/>
        <v>0</v>
      </c>
      <c r="V405" s="306">
        <f t="shared" ca="1" si="177"/>
        <v>1.147475175079417</v>
      </c>
      <c r="W405" s="304">
        <f t="shared" ca="1" si="178"/>
        <v>122.55933789248439</v>
      </c>
      <c r="Y405" s="314" t="str">
        <f t="shared" ca="1" si="196"/>
        <v/>
      </c>
      <c r="Z405" s="315" t="str">
        <f t="shared" ca="1" si="197"/>
        <v/>
      </c>
      <c r="AA405" s="316" t="str">
        <f t="shared" ca="1" si="198"/>
        <v/>
      </c>
      <c r="AC405" s="310" t="e">
        <f t="shared" ca="1" si="199"/>
        <v>#N/A</v>
      </c>
      <c r="AD405" s="323" t="e">
        <f t="shared" ca="1" si="200"/>
        <v>#N/A</v>
      </c>
      <c r="AE405" s="324">
        <f t="shared" ca="1" si="179"/>
        <v>653.53539404675041</v>
      </c>
      <c r="AG405" s="306">
        <f t="shared" ca="1" si="201"/>
        <v>-30.279539544225443</v>
      </c>
      <c r="AH405" s="304">
        <f t="shared" ca="1" si="202"/>
        <v>-20.533831726682941</v>
      </c>
    </row>
    <row r="406" spans="1:34" x14ac:dyDescent="0.2">
      <c r="A406" s="347">
        <f t="shared" ca="1" si="180"/>
        <v>0.1</v>
      </c>
      <c r="B406" s="304">
        <f t="shared" ca="1" si="181"/>
        <v>4.1999999999999584</v>
      </c>
      <c r="D406" s="306">
        <f t="shared" ca="1" si="182"/>
        <v>-2.287447553130924</v>
      </c>
      <c r="E406" s="307">
        <f t="shared" ca="1" si="183"/>
        <v>-29.600109824823377</v>
      </c>
      <c r="F406" s="304">
        <f t="shared" ca="1" si="184"/>
        <v>29.688363342392758</v>
      </c>
      <c r="G406" s="306">
        <f t="shared" ca="1" si="185"/>
        <v>24.330941399570882</v>
      </c>
      <c r="H406" s="307">
        <f t="shared" ca="1" si="186"/>
        <v>209.5208765478508</v>
      </c>
      <c r="I406" s="304">
        <f t="shared" ca="1" si="187"/>
        <v>210.92888000169413</v>
      </c>
      <c r="J406" s="306">
        <f t="shared" ca="1" si="188"/>
        <v>72.653231746853606</v>
      </c>
      <c r="K406" s="307">
        <f t="shared" ca="1" si="189"/>
        <v>674.63548225065961</v>
      </c>
      <c r="L406" s="304">
        <f t="shared" ca="1" si="174"/>
        <v>678.53631147849569</v>
      </c>
      <c r="M406" s="306">
        <f t="shared" ca="1" si="190"/>
        <v>1.4551875739369922</v>
      </c>
      <c r="N406" s="304">
        <f t="shared" ca="1" si="191"/>
        <v>83.376106386471079</v>
      </c>
      <c r="P406" s="310">
        <f t="shared" ca="1" si="192"/>
        <v>23</v>
      </c>
      <c r="Q406" s="304">
        <f t="shared" ca="1" si="193"/>
        <v>0</v>
      </c>
      <c r="R406" s="306">
        <f t="shared" ca="1" si="194"/>
        <v>0</v>
      </c>
      <c r="S406" s="307">
        <f t="shared" ca="1" si="195"/>
        <v>6.1519999999999921</v>
      </c>
      <c r="T406" s="304">
        <f t="shared" ca="1" si="175"/>
        <v>60.351119999999923</v>
      </c>
      <c r="U406" s="311">
        <f t="shared" ca="1" si="176"/>
        <v>0</v>
      </c>
      <c r="V406" s="306">
        <f t="shared" ca="1" si="177"/>
        <v>1.1450538779543127</v>
      </c>
      <c r="W406" s="304">
        <f t="shared" ca="1" si="178"/>
        <v>118.93170069229338</v>
      </c>
      <c r="Y406" s="314" t="str">
        <f t="shared" ca="1" si="196"/>
        <v/>
      </c>
      <c r="Z406" s="315" t="str">
        <f t="shared" ca="1" si="197"/>
        <v/>
      </c>
      <c r="AA406" s="316" t="str">
        <f t="shared" ca="1" si="198"/>
        <v/>
      </c>
      <c r="AC406" s="310" t="e">
        <f t="shared" ca="1" si="199"/>
        <v>#N/A</v>
      </c>
      <c r="AD406" s="323" t="e">
        <f t="shared" ca="1" si="200"/>
        <v>#N/A</v>
      </c>
      <c r="AE406" s="324">
        <f t="shared" ca="1" si="179"/>
        <v>674.63548225065961</v>
      </c>
      <c r="AG406" s="306">
        <f t="shared" ca="1" si="201"/>
        <v>-29.666987646151728</v>
      </c>
      <c r="AH406" s="304">
        <f t="shared" ca="1" si="202"/>
        <v>-19.921868968219204</v>
      </c>
    </row>
    <row r="407" spans="1:34" x14ac:dyDescent="0.2">
      <c r="A407" s="347">
        <f t="shared" ca="1" si="180"/>
        <v>0.1</v>
      </c>
      <c r="B407" s="304">
        <f t="shared" ca="1" si="181"/>
        <v>4.2999999999999581</v>
      </c>
      <c r="D407" s="306">
        <f t="shared" ca="1" si="182"/>
        <v>-2.2299964339013378</v>
      </c>
      <c r="E407" s="307">
        <f t="shared" ca="1" si="183"/>
        <v>-29.013153706902216</v>
      </c>
      <c r="F407" s="304">
        <f t="shared" ca="1" si="184"/>
        <v>29.098728015422711</v>
      </c>
      <c r="G407" s="306">
        <f t="shared" ca="1" si="185"/>
        <v>24.10794175618075</v>
      </c>
      <c r="H407" s="307">
        <f t="shared" ca="1" si="186"/>
        <v>206.61956117716059</v>
      </c>
      <c r="I407" s="304">
        <f t="shared" ca="1" si="187"/>
        <v>208.0212391001501</v>
      </c>
      <c r="J407" s="306">
        <f t="shared" ca="1" si="188"/>
        <v>75.075175904641185</v>
      </c>
      <c r="K407" s="307">
        <f t="shared" ca="1" si="189"/>
        <v>695.4425041369102</v>
      </c>
      <c r="L407" s="304">
        <f t="shared" ca="1" si="174"/>
        <v>699.48306526843749</v>
      </c>
      <c r="M407" s="306">
        <f t="shared" ca="1" si="190"/>
        <v>1.4546435923296419</v>
      </c>
      <c r="N407" s="304">
        <f t="shared" ca="1" si="191"/>
        <v>83.344938536237166</v>
      </c>
      <c r="P407" s="310">
        <f t="shared" ca="1" si="192"/>
        <v>23</v>
      </c>
      <c r="Q407" s="304">
        <f t="shared" ca="1" si="193"/>
        <v>0</v>
      </c>
      <c r="R407" s="306">
        <f t="shared" ca="1" si="194"/>
        <v>0</v>
      </c>
      <c r="S407" s="307">
        <f t="shared" ca="1" si="195"/>
        <v>6.1519999999999921</v>
      </c>
      <c r="T407" s="304">
        <f t="shared" ca="1" si="175"/>
        <v>60.351119999999923</v>
      </c>
      <c r="U407" s="311">
        <f t="shared" ca="1" si="176"/>
        <v>0</v>
      </c>
      <c r="V407" s="306">
        <f t="shared" ca="1" si="177"/>
        <v>1.1426710459418861</v>
      </c>
      <c r="W407" s="304">
        <f t="shared" ca="1" si="178"/>
        <v>115.43465118642234</v>
      </c>
      <c r="Y407" s="314" t="str">
        <f t="shared" ca="1" si="196"/>
        <v/>
      </c>
      <c r="Z407" s="315" t="str">
        <f t="shared" ca="1" si="197"/>
        <v/>
      </c>
      <c r="AA407" s="316" t="str">
        <f t="shared" ca="1" si="198"/>
        <v/>
      </c>
      <c r="AC407" s="310" t="e">
        <f t="shared" ca="1" si="199"/>
        <v>#N/A</v>
      </c>
      <c r="AD407" s="323" t="e">
        <f t="shared" ca="1" si="200"/>
        <v>#N/A</v>
      </c>
      <c r="AE407" s="324">
        <f t="shared" ca="1" si="179"/>
        <v>695.4425041369102</v>
      </c>
      <c r="AG407" s="306">
        <f t="shared" ca="1" si="201"/>
        <v>-29.076716799486746</v>
      </c>
      <c r="AH407" s="304">
        <f t="shared" ca="1" si="202"/>
        <v>-19.33220102280454</v>
      </c>
    </row>
    <row r="408" spans="1:34" x14ac:dyDescent="0.2">
      <c r="A408" s="347">
        <f t="shared" ca="1" si="180"/>
        <v>0.1</v>
      </c>
      <c r="B408" s="304">
        <f t="shared" ca="1" si="181"/>
        <v>4.3999999999999577</v>
      </c>
      <c r="D408" s="306">
        <f t="shared" ca="1" si="182"/>
        <v>-2.1745646447282998</v>
      </c>
      <c r="E408" s="307">
        <f t="shared" ca="1" si="183"/>
        <v>-28.447326951809842</v>
      </c>
      <c r="F408" s="304">
        <f t="shared" ca="1" si="184"/>
        <v>28.530319698476372</v>
      </c>
      <c r="G408" s="306">
        <f t="shared" ca="1" si="185"/>
        <v>23.890485291707922</v>
      </c>
      <c r="H408" s="307">
        <f t="shared" ca="1" si="186"/>
        <v>203.7748284819796</v>
      </c>
      <c r="I408" s="304">
        <f t="shared" ca="1" si="187"/>
        <v>205.17050472797868</v>
      </c>
      <c r="J408" s="306">
        <f t="shared" ca="1" si="188"/>
        <v>77.475097257035614</v>
      </c>
      <c r="K408" s="307">
        <f t="shared" ca="1" si="189"/>
        <v>715.96222361986725</v>
      </c>
      <c r="L408" s="304">
        <f t="shared" ca="1" si="174"/>
        <v>720.14185848740385</v>
      </c>
      <c r="M408" s="306">
        <f t="shared" ca="1" si="190"/>
        <v>1.45408946884409</v>
      </c>
      <c r="N408" s="304">
        <f t="shared" ca="1" si="191"/>
        <v>83.313189599185961</v>
      </c>
      <c r="P408" s="310">
        <f t="shared" ca="1" si="192"/>
        <v>23</v>
      </c>
      <c r="Q408" s="304">
        <f t="shared" ca="1" si="193"/>
        <v>0</v>
      </c>
      <c r="R408" s="306">
        <f t="shared" ca="1" si="194"/>
        <v>0</v>
      </c>
      <c r="S408" s="307">
        <f t="shared" ca="1" si="195"/>
        <v>6.1519999999999921</v>
      </c>
      <c r="T408" s="304">
        <f t="shared" ca="1" si="175"/>
        <v>60.351119999999923</v>
      </c>
      <c r="U408" s="311">
        <f t="shared" ca="1" si="176"/>
        <v>0</v>
      </c>
      <c r="V408" s="306">
        <f t="shared" ca="1" si="177"/>
        <v>1.1403258038929671</v>
      </c>
      <c r="W408" s="304">
        <f t="shared" ca="1" si="178"/>
        <v>112.06201301488041</v>
      </c>
      <c r="Y408" s="314" t="str">
        <f t="shared" ca="1" si="196"/>
        <v/>
      </c>
      <c r="Z408" s="315" t="str">
        <f t="shared" ca="1" si="197"/>
        <v/>
      </c>
      <c r="AA408" s="316" t="str">
        <f t="shared" ca="1" si="198"/>
        <v/>
      </c>
      <c r="AC408" s="310" t="e">
        <f t="shared" ca="1" si="199"/>
        <v>#N/A</v>
      </c>
      <c r="AD408" s="323" t="e">
        <f t="shared" ca="1" si="200"/>
        <v>#N/A</v>
      </c>
      <c r="AE408" s="324">
        <f t="shared" ca="1" si="179"/>
        <v>715.96222361986725</v>
      </c>
      <c r="AG408" s="306">
        <f t="shared" ca="1" si="201"/>
        <v>-28.50765871263404</v>
      </c>
      <c r="AH408" s="304">
        <f t="shared" ca="1" si="202"/>
        <v>-18.763759945777387</v>
      </c>
    </row>
    <row r="409" spans="1:34" x14ac:dyDescent="0.2">
      <c r="A409" s="347">
        <f t="shared" ca="1" si="180"/>
        <v>0.1</v>
      </c>
      <c r="B409" s="304">
        <f t="shared" ca="1" si="181"/>
        <v>4.4999999999999574</v>
      </c>
      <c r="D409" s="306">
        <f t="shared" ca="1" si="182"/>
        <v>-2.1210560138342722</v>
      </c>
      <c r="E409" s="307">
        <f t="shared" ca="1" si="183"/>
        <v>-27.901630209360682</v>
      </c>
      <c r="F409" s="304">
        <f t="shared" ca="1" si="184"/>
        <v>27.982134424552591</v>
      </c>
      <c r="G409" s="306">
        <f t="shared" ca="1" si="185"/>
        <v>23.678379690324494</v>
      </c>
      <c r="H409" s="307">
        <f t="shared" ca="1" si="186"/>
        <v>200.98466546104353</v>
      </c>
      <c r="I409" s="304">
        <f t="shared" ca="1" si="187"/>
        <v>202.37465605961324</v>
      </c>
      <c r="J409" s="306">
        <f t="shared" ca="1" si="188"/>
        <v>79.853540506137236</v>
      </c>
      <c r="K409" s="307">
        <f t="shared" ca="1" si="189"/>
        <v>736.20019831701836</v>
      </c>
      <c r="L409" s="304">
        <f t="shared" ca="1" si="174"/>
        <v>740.51827791985158</v>
      </c>
      <c r="M409" s="306">
        <f t="shared" ca="1" si="190"/>
        <v>1.4535250221267162</v>
      </c>
      <c r="N409" s="304">
        <f t="shared" ca="1" si="191"/>
        <v>83.280849184520434</v>
      </c>
      <c r="P409" s="310">
        <f t="shared" ca="1" si="192"/>
        <v>23</v>
      </c>
      <c r="Q409" s="304">
        <f t="shared" ca="1" si="193"/>
        <v>0</v>
      </c>
      <c r="R409" s="306">
        <f t="shared" ca="1" si="194"/>
        <v>0</v>
      </c>
      <c r="S409" s="307">
        <f t="shared" ca="1" si="195"/>
        <v>6.1519999999999921</v>
      </c>
      <c r="T409" s="304">
        <f t="shared" ca="1" si="175"/>
        <v>60.351119999999923</v>
      </c>
      <c r="U409" s="311">
        <f t="shared" ca="1" si="176"/>
        <v>0</v>
      </c>
      <c r="V409" s="306">
        <f t="shared" ca="1" si="177"/>
        <v>1.1380173094093158</v>
      </c>
      <c r="W409" s="304">
        <f t="shared" ca="1" si="178"/>
        <v>108.80797534169044</v>
      </c>
      <c r="Y409" s="314" t="str">
        <f t="shared" ca="1" si="196"/>
        <v/>
      </c>
      <c r="Z409" s="315" t="str">
        <f t="shared" ca="1" si="197"/>
        <v/>
      </c>
      <c r="AA409" s="316" t="str">
        <f t="shared" ca="1" si="198"/>
        <v/>
      </c>
      <c r="AC409" s="310" t="e">
        <f t="shared" ca="1" si="199"/>
        <v>#N/A</v>
      </c>
      <c r="AD409" s="323" t="e">
        <f t="shared" ca="1" si="200"/>
        <v>#N/A</v>
      </c>
      <c r="AE409" s="324">
        <f t="shared" ca="1" si="179"/>
        <v>736.20019831701836</v>
      </c>
      <c r="AG409" s="306">
        <f t="shared" ca="1" si="201"/>
        <v>-27.958809066570666</v>
      </c>
      <c r="AH409" s="304">
        <f t="shared" ca="1" si="202"/>
        <v>-18.215541777451325</v>
      </c>
    </row>
    <row r="410" spans="1:34" x14ac:dyDescent="0.2">
      <c r="A410" s="347">
        <f t="shared" ca="1" si="180"/>
        <v>0.1</v>
      </c>
      <c r="B410" s="304">
        <f t="shared" ca="1" si="181"/>
        <v>4.599999999999957</v>
      </c>
      <c r="D410" s="306">
        <f t="shared" ca="1" si="182"/>
        <v>-2.0693800553740207</v>
      </c>
      <c r="E410" s="307">
        <f t="shared" ca="1" si="183"/>
        <v>-27.375123271971823</v>
      </c>
      <c r="F410" s="304">
        <f t="shared" ca="1" si="184"/>
        <v>27.45322764210491</v>
      </c>
      <c r="G410" s="306">
        <f t="shared" ca="1" si="185"/>
        <v>23.471441684787091</v>
      </c>
      <c r="H410" s="307">
        <f t="shared" ca="1" si="186"/>
        <v>198.24715313384635</v>
      </c>
      <c r="I410" s="304">
        <f t="shared" ca="1" si="187"/>
        <v>199.63176676179842</v>
      </c>
      <c r="J410" s="306">
        <f t="shared" ca="1" si="188"/>
        <v>82.211031574892814</v>
      </c>
      <c r="K410" s="307">
        <f t="shared" ca="1" si="189"/>
        <v>756.16178924676285</v>
      </c>
      <c r="L410" s="304">
        <f t="shared" ca="1" si="174"/>
        <v>760.61771293434515</v>
      </c>
      <c r="M410" s="306">
        <f t="shared" ca="1" si="190"/>
        <v>1.4529500652963958</v>
      </c>
      <c r="N410" s="304">
        <f t="shared" ca="1" si="191"/>
        <v>83.247906584740861</v>
      </c>
      <c r="P410" s="310">
        <f t="shared" ca="1" si="192"/>
        <v>23</v>
      </c>
      <c r="Q410" s="304">
        <f t="shared" ca="1" si="193"/>
        <v>0</v>
      </c>
      <c r="R410" s="306">
        <f t="shared" ca="1" si="194"/>
        <v>0</v>
      </c>
      <c r="S410" s="307">
        <f t="shared" ca="1" si="195"/>
        <v>6.1519999999999921</v>
      </c>
      <c r="T410" s="304">
        <f t="shared" ca="1" si="175"/>
        <v>60.351119999999923</v>
      </c>
      <c r="U410" s="311">
        <f t="shared" ca="1" si="176"/>
        <v>0</v>
      </c>
      <c r="V410" s="306">
        <f t="shared" ca="1" si="177"/>
        <v>1.1357447512471044</v>
      </c>
      <c r="W410" s="304">
        <f t="shared" ca="1" si="178"/>
        <v>105.66706706842743</v>
      </c>
      <c r="Y410" s="314" t="str">
        <f t="shared" ca="1" si="196"/>
        <v/>
      </c>
      <c r="Z410" s="315" t="str">
        <f t="shared" ca="1" si="197"/>
        <v/>
      </c>
      <c r="AA410" s="316" t="str">
        <f t="shared" ca="1" si="198"/>
        <v/>
      </c>
      <c r="AC410" s="310" t="e">
        <f t="shared" ca="1" si="199"/>
        <v>#N/A</v>
      </c>
      <c r="AD410" s="323" t="e">
        <f t="shared" ca="1" si="200"/>
        <v>#N/A</v>
      </c>
      <c r="AE410" s="324">
        <f t="shared" ca="1" si="179"/>
        <v>756.16178924676285</v>
      </c>
      <c r="AG410" s="306">
        <f t="shared" ca="1" si="201"/>
        <v>-27.429222944851698</v>
      </c>
      <c r="AH410" s="304">
        <f t="shared" ca="1" si="202"/>
        <v>-17.686601973616803</v>
      </c>
    </row>
    <row r="411" spans="1:34" x14ac:dyDescent="0.2">
      <c r="A411" s="347">
        <f t="shared" ca="1" si="180"/>
        <v>0.1</v>
      </c>
      <c r="B411" s="304">
        <f t="shared" ca="1" si="181"/>
        <v>4.6999999999999567</v>
      </c>
      <c r="D411" s="306">
        <f t="shared" ca="1" si="182"/>
        <v>-2.0194515681713674</v>
      </c>
      <c r="E411" s="307">
        <f t="shared" ca="1" si="183"/>
        <v>-26.866920902355155</v>
      </c>
      <c r="F411" s="304">
        <f t="shared" ca="1" si="184"/>
        <v>26.942710023484981</v>
      </c>
      <c r="G411" s="306">
        <f t="shared" ca="1" si="185"/>
        <v>23.269496527969956</v>
      </c>
      <c r="H411" s="307">
        <f t="shared" ca="1" si="186"/>
        <v>195.56046104361084</v>
      </c>
      <c r="I411" s="304">
        <f t="shared" ca="1" si="187"/>
        <v>196.93999947256739</v>
      </c>
      <c r="J411" s="306">
        <f t="shared" ca="1" si="188"/>
        <v>84.548078485530667</v>
      </c>
      <c r="K411" s="307">
        <f t="shared" ca="1" si="189"/>
        <v>775.85216995563576</v>
      </c>
      <c r="L411" s="304">
        <f t="shared" ca="1" si="174"/>
        <v>780.44536464794521</v>
      </c>
      <c r="M411" s="306">
        <f t="shared" ca="1" si="190"/>
        <v>1.4523644057652094</v>
      </c>
      <c r="N411" s="304">
        <f t="shared" ca="1" si="191"/>
        <v>83.214350765372274</v>
      </c>
      <c r="P411" s="310">
        <f t="shared" ca="1" si="192"/>
        <v>23</v>
      </c>
      <c r="Q411" s="304">
        <f t="shared" ca="1" si="193"/>
        <v>0</v>
      </c>
      <c r="R411" s="306">
        <f t="shared" ca="1" si="194"/>
        <v>0</v>
      </c>
      <c r="S411" s="307">
        <f t="shared" ca="1" si="195"/>
        <v>6.1519999999999921</v>
      </c>
      <c r="T411" s="304">
        <f t="shared" ca="1" si="175"/>
        <v>60.351119999999923</v>
      </c>
      <c r="U411" s="311">
        <f t="shared" ca="1" si="176"/>
        <v>0</v>
      </c>
      <c r="V411" s="306">
        <f t="shared" ca="1" si="177"/>
        <v>1.1335073478169937</v>
      </c>
      <c r="W411" s="304">
        <f t="shared" ca="1" si="178"/>
        <v>102.6341331549188</v>
      </c>
      <c r="Y411" s="314" t="str">
        <f t="shared" ca="1" si="196"/>
        <v/>
      </c>
      <c r="Z411" s="315" t="str">
        <f t="shared" ca="1" si="197"/>
        <v/>
      </c>
      <c r="AA411" s="316" t="str">
        <f t="shared" ca="1" si="198"/>
        <v/>
      </c>
      <c r="AC411" s="310" t="e">
        <f t="shared" ca="1" si="199"/>
        <v>#N/A</v>
      </c>
      <c r="AD411" s="323" t="e">
        <f t="shared" ca="1" si="200"/>
        <v>#N/A</v>
      </c>
      <c r="AE411" s="324">
        <f t="shared" ca="1" si="179"/>
        <v>775.85216995563576</v>
      </c>
      <c r="AG411" s="306">
        <f t="shared" ca="1" si="201"/>
        <v>-26.918010641531005</v>
      </c>
      <c r="AH411" s="304">
        <f t="shared" ca="1" si="202"/>
        <v>-17.176051213983673</v>
      </c>
    </row>
    <row r="412" spans="1:34" x14ac:dyDescent="0.2">
      <c r="A412" s="347">
        <f t="shared" ca="1" si="180"/>
        <v>0.1</v>
      </c>
      <c r="B412" s="304">
        <f t="shared" ca="1" si="181"/>
        <v>4.7999999999999563</v>
      </c>
      <c r="D412" s="306">
        <f t="shared" ca="1" si="182"/>
        <v>-1.9711902672459169</v>
      </c>
      <c r="E412" s="307">
        <f t="shared" ca="1" si="183"/>
        <v>-26.376189002152877</v>
      </c>
      <c r="F412" s="304">
        <f t="shared" ca="1" si="184"/>
        <v>26.449743615902506</v>
      </c>
      <c r="G412" s="306">
        <f t="shared" ca="1" si="185"/>
        <v>23.072377501245363</v>
      </c>
      <c r="H412" s="307">
        <f t="shared" ca="1" si="186"/>
        <v>192.92284214339554</v>
      </c>
      <c r="I412" s="304">
        <f t="shared" ca="1" si="187"/>
        <v>194.29760066517932</v>
      </c>
      <c r="J412" s="306">
        <f t="shared" ca="1" si="188"/>
        <v>86.86517218699143</v>
      </c>
      <c r="K412" s="307">
        <f t="shared" ca="1" si="189"/>
        <v>795.27633511498607</v>
      </c>
      <c r="L412" s="304">
        <f t="shared" ca="1" si="174"/>
        <v>800.00625455867487</v>
      </c>
      <c r="M412" s="306">
        <f t="shared" ca="1" si="190"/>
        <v>1.4517678450512652</v>
      </c>
      <c r="N412" s="304">
        <f t="shared" ca="1" si="191"/>
        <v>83.180170354239948</v>
      </c>
      <c r="P412" s="310">
        <f t="shared" ca="1" si="192"/>
        <v>23</v>
      </c>
      <c r="Q412" s="304">
        <f t="shared" ca="1" si="193"/>
        <v>0</v>
      </c>
      <c r="R412" s="306">
        <f t="shared" ca="1" si="194"/>
        <v>0</v>
      </c>
      <c r="S412" s="307">
        <f t="shared" ca="1" si="195"/>
        <v>6.1519999999999921</v>
      </c>
      <c r="T412" s="304">
        <f t="shared" ca="1" si="175"/>
        <v>60.351119999999923</v>
      </c>
      <c r="U412" s="311">
        <f t="shared" ca="1" si="176"/>
        <v>0</v>
      </c>
      <c r="V412" s="306">
        <f t="shared" ca="1" si="177"/>
        <v>1.1313043457738723</v>
      </c>
      <c r="W412" s="304">
        <f t="shared" ca="1" si="178"/>
        <v>99.704312851952665</v>
      </c>
      <c r="Y412" s="314" t="str">
        <f t="shared" ca="1" si="196"/>
        <v/>
      </c>
      <c r="Z412" s="315" t="str">
        <f t="shared" ca="1" si="197"/>
        <v/>
      </c>
      <c r="AA412" s="316" t="str">
        <f t="shared" ca="1" si="198"/>
        <v/>
      </c>
      <c r="AC412" s="310" t="e">
        <f t="shared" ca="1" si="199"/>
        <v>#N/A</v>
      </c>
      <c r="AD412" s="323" t="e">
        <f t="shared" ca="1" si="200"/>
        <v>#N/A</v>
      </c>
      <c r="AE412" s="324">
        <f t="shared" ca="1" si="179"/>
        <v>795.27633511498607</v>
      </c>
      <c r="AG412" s="306">
        <f t="shared" ca="1" si="201"/>
        <v>-26.424333811572744</v>
      </c>
      <c r="AH412" s="304">
        <f t="shared" ca="1" si="202"/>
        <v>-16.683051553140267</v>
      </c>
    </row>
    <row r="413" spans="1:34" x14ac:dyDescent="0.2">
      <c r="A413" s="347">
        <f t="shared" ca="1" si="180"/>
        <v>0.1</v>
      </c>
      <c r="B413" s="304">
        <f t="shared" ca="1" si="181"/>
        <v>4.8999999999999559</v>
      </c>
      <c r="D413" s="306">
        <f t="shared" ca="1" si="182"/>
        <v>-1.924520445092901</v>
      </c>
      <c r="E413" s="307">
        <f t="shared" ca="1" si="183"/>
        <v>-25.902141089939903</v>
      </c>
      <c r="F413" s="304">
        <f t="shared" ca="1" si="184"/>
        <v>25.97353830317952</v>
      </c>
      <c r="G413" s="306">
        <f t="shared" ca="1" si="185"/>
        <v>22.879925456736071</v>
      </c>
      <c r="H413" s="307">
        <f t="shared" ca="1" si="186"/>
        <v>190.33262803440155</v>
      </c>
      <c r="I413" s="304">
        <f t="shared" ca="1" si="187"/>
        <v>191.70289586594058</v>
      </c>
      <c r="J413" s="306">
        <f t="shared" ca="1" si="188"/>
        <v>89.162787334890496</v>
      </c>
      <c r="K413" s="307">
        <f t="shared" ca="1" si="189"/>
        <v>814.43910862387588</v>
      </c>
      <c r="L413" s="304">
        <f t="shared" ca="1" si="174"/>
        <v>819.30523268277761</v>
      </c>
      <c r="M413" s="306">
        <f t="shared" ca="1" si="190"/>
        <v>1.4511601785832733</v>
      </c>
      <c r="N413" s="304">
        <f t="shared" ca="1" si="191"/>
        <v>83.145353630272396</v>
      </c>
      <c r="P413" s="310">
        <f t="shared" ca="1" si="192"/>
        <v>23</v>
      </c>
      <c r="Q413" s="304">
        <f t="shared" ca="1" si="193"/>
        <v>0</v>
      </c>
      <c r="R413" s="306">
        <f t="shared" ca="1" si="194"/>
        <v>0</v>
      </c>
      <c r="S413" s="307">
        <f t="shared" ca="1" si="195"/>
        <v>6.1519999999999921</v>
      </c>
      <c r="T413" s="304">
        <f t="shared" ca="1" si="175"/>
        <v>60.351119999999923</v>
      </c>
      <c r="U413" s="311">
        <f t="shared" ca="1" si="176"/>
        <v>0</v>
      </c>
      <c r="V413" s="306">
        <f t="shared" ca="1" si="177"/>
        <v>1.1291350186898974</v>
      </c>
      <c r="W413" s="304">
        <f t="shared" ca="1" si="178"/>
        <v>96.873019670992605</v>
      </c>
      <c r="Y413" s="314" t="str">
        <f t="shared" ca="1" si="196"/>
        <v/>
      </c>
      <c r="Z413" s="315" t="str">
        <f t="shared" ca="1" si="197"/>
        <v/>
      </c>
      <c r="AA413" s="316" t="str">
        <f t="shared" ca="1" si="198"/>
        <v/>
      </c>
      <c r="AC413" s="310" t="e">
        <f t="shared" ca="1" si="199"/>
        <v>#N/A</v>
      </c>
      <c r="AD413" s="323" t="e">
        <f t="shared" ca="1" si="200"/>
        <v>#N/A</v>
      </c>
      <c r="AE413" s="324">
        <f t="shared" ca="1" si="179"/>
        <v>814.43910862387588</v>
      </c>
      <c r="AG413" s="306">
        <f t="shared" ca="1" si="201"/>
        <v>-25.947401932030083</v>
      </c>
      <c r="AH413" s="304">
        <f t="shared" ca="1" si="202"/>
        <v>-16.20681288230702</v>
      </c>
    </row>
    <row r="414" spans="1:34" x14ac:dyDescent="0.2">
      <c r="A414" s="347">
        <f t="shared" ca="1" si="180"/>
        <v>0.1</v>
      </c>
      <c r="B414" s="304">
        <f t="shared" ca="1" si="181"/>
        <v>4.9999999999999556</v>
      </c>
      <c r="D414" s="306">
        <f t="shared" ca="1" si="182"/>
        <v>-1.8793706599926741</v>
      </c>
      <c r="E414" s="307">
        <f t="shared" ca="1" si="183"/>
        <v>-25.444035060277756</v>
      </c>
      <c r="F414" s="304">
        <f t="shared" ca="1" si="184"/>
        <v>25.513348549852974</v>
      </c>
      <c r="G414" s="306">
        <f t="shared" ca="1" si="185"/>
        <v>22.691988390736803</v>
      </c>
      <c r="H414" s="307">
        <f t="shared" ca="1" si="186"/>
        <v>187.78822452837377</v>
      </c>
      <c r="I414" s="304">
        <f t="shared" ca="1" si="187"/>
        <v>189.15428519767732</v>
      </c>
      <c r="J414" s="306">
        <f t="shared" ca="1" si="188"/>
        <v>91.441383027264138</v>
      </c>
      <c r="K414" s="307">
        <f t="shared" ca="1" si="189"/>
        <v>833.3451512520146</v>
      </c>
      <c r="L414" s="304">
        <f t="shared" ca="1" si="174"/>
        <v>838.34698523056784</v>
      </c>
      <c r="M414" s="306">
        <f t="shared" ca="1" si="190"/>
        <v>1.4505411954964782</v>
      </c>
      <c r="N414" s="304">
        <f t="shared" ca="1" si="191"/>
        <v>83.109888511809061</v>
      </c>
      <c r="P414" s="310">
        <f t="shared" ca="1" si="192"/>
        <v>23</v>
      </c>
      <c r="Q414" s="304">
        <f t="shared" ca="1" si="193"/>
        <v>0</v>
      </c>
      <c r="R414" s="306">
        <f t="shared" ca="1" si="194"/>
        <v>0</v>
      </c>
      <c r="S414" s="307">
        <f t="shared" ca="1" si="195"/>
        <v>6.1519999999999921</v>
      </c>
      <c r="T414" s="304">
        <f t="shared" ca="1" si="175"/>
        <v>60.351119999999923</v>
      </c>
      <c r="U414" s="311">
        <f t="shared" ca="1" si="176"/>
        <v>0</v>
      </c>
      <c r="V414" s="306">
        <f t="shared" ca="1" si="177"/>
        <v>1.1269986658050093</v>
      </c>
      <c r="W414" s="304">
        <f t="shared" ca="1" si="178"/>
        <v>94.135922933761705</v>
      </c>
      <c r="Y414" s="314" t="str">
        <f t="shared" ca="1" si="196"/>
        <v/>
      </c>
      <c r="Z414" s="315" t="str">
        <f t="shared" ca="1" si="197"/>
        <v/>
      </c>
      <c r="AA414" s="316" t="str">
        <f t="shared" ca="1" si="198"/>
        <v/>
      </c>
      <c r="AC414" s="310">
        <f t="shared" ca="1" si="199"/>
        <v>4.9999999999999556</v>
      </c>
      <c r="AD414" s="323">
        <f t="shared" ca="1" si="200"/>
        <v>91.441383027264138</v>
      </c>
      <c r="AE414" s="324">
        <f t="shared" ca="1" si="179"/>
        <v>833.3451512520146</v>
      </c>
      <c r="AG414" s="306">
        <f t="shared" ca="1" si="201"/>
        <v>-25.486469045543412</v>
      </c>
      <c r="AH414" s="304">
        <f t="shared" ca="1" si="202"/>
        <v>-15.746589673438351</v>
      </c>
    </row>
    <row r="415" spans="1:34" x14ac:dyDescent="0.2">
      <c r="A415" s="347">
        <f t="shared" ca="1" si="180"/>
        <v>0.1</v>
      </c>
      <c r="B415" s="304">
        <f t="shared" ca="1" si="181"/>
        <v>5.0999999999999552</v>
      </c>
      <c r="D415" s="306">
        <f t="shared" ca="1" si="182"/>
        <v>-1.8356734489046296</v>
      </c>
      <c r="E415" s="307">
        <f t="shared" ca="1" si="183"/>
        <v>-25.001170198394597</v>
      </c>
      <c r="F415" s="304">
        <f t="shared" ca="1" si="184"/>
        <v>25.068470402082923</v>
      </c>
      <c r="G415" s="306">
        <f t="shared" ca="1" si="185"/>
        <v>22.50842104584634</v>
      </c>
      <c r="H415" s="307">
        <f t="shared" ca="1" si="186"/>
        <v>185.28810750853432</v>
      </c>
      <c r="I415" s="304">
        <f t="shared" ca="1" si="187"/>
        <v>186.65023922318255</v>
      </c>
      <c r="J415" s="306">
        <f t="shared" ca="1" si="188"/>
        <v>93.701403499093288</v>
      </c>
      <c r="K415" s="307">
        <f t="shared" ca="1" si="189"/>
        <v>851.99896785385999</v>
      </c>
      <c r="L415" s="304">
        <f t="shared" ca="1" si="174"/>
        <v>857.136041852017</v>
      </c>
      <c r="M415" s="306">
        <f t="shared" ca="1" si="190"/>
        <v>1.4499106784195384</v>
      </c>
      <c r="N415" s="304">
        <f t="shared" ca="1" si="191"/>
        <v>83.073762544389481</v>
      </c>
      <c r="P415" s="310">
        <f t="shared" ca="1" si="192"/>
        <v>23</v>
      </c>
      <c r="Q415" s="304">
        <f t="shared" ca="1" si="193"/>
        <v>0</v>
      </c>
      <c r="R415" s="306">
        <f t="shared" ca="1" si="194"/>
        <v>0</v>
      </c>
      <c r="S415" s="307">
        <f t="shared" ca="1" si="195"/>
        <v>6.1519999999999921</v>
      </c>
      <c r="T415" s="304">
        <f t="shared" ca="1" si="175"/>
        <v>60.351119999999923</v>
      </c>
      <c r="U415" s="311">
        <f t="shared" ca="1" si="176"/>
        <v>0</v>
      </c>
      <c r="V415" s="306">
        <f t="shared" ca="1" si="177"/>
        <v>1.1248946108495423</v>
      </c>
      <c r="W415" s="304">
        <f t="shared" ca="1" si="178"/>
        <v>91.488930760413766</v>
      </c>
      <c r="Y415" s="314" t="str">
        <f t="shared" ca="1" si="196"/>
        <v/>
      </c>
      <c r="Z415" s="315" t="str">
        <f t="shared" ca="1" si="197"/>
        <v/>
      </c>
      <c r="AA415" s="316" t="str">
        <f t="shared" ca="1" si="198"/>
        <v/>
      </c>
      <c r="AC415" s="310" t="e">
        <f t="shared" ca="1" si="199"/>
        <v>#N/A</v>
      </c>
      <c r="AD415" s="323" t="e">
        <f t="shared" ca="1" si="200"/>
        <v>#N/A</v>
      </c>
      <c r="AE415" s="324">
        <f t="shared" ca="1" si="179"/>
        <v>851.99896785385999</v>
      </c>
      <c r="AG415" s="306">
        <f t="shared" ca="1" si="201"/>
        <v>-25.040830760613936</v>
      </c>
      <c r="AH415" s="304">
        <f t="shared" ca="1" si="202"/>
        <v>-15.301677980130336</v>
      </c>
    </row>
    <row r="416" spans="1:34" x14ac:dyDescent="0.2">
      <c r="A416" s="347">
        <f t="shared" ca="1" si="180"/>
        <v>0.1</v>
      </c>
      <c r="B416" s="304">
        <f t="shared" ca="1" si="181"/>
        <v>5.1999999999999549</v>
      </c>
      <c r="D416" s="306">
        <f t="shared" ca="1" si="182"/>
        <v>-1.7933650627469477</v>
      </c>
      <c r="E416" s="307">
        <f t="shared" ca="1" si="183"/>
        <v>-24.572884427631848</v>
      </c>
      <c r="F416" s="304">
        <f t="shared" ca="1" si="184"/>
        <v>24.638238722401265</v>
      </c>
      <c r="G416" s="306">
        <f t="shared" ca="1" si="185"/>
        <v>22.329084539571646</v>
      </c>
      <c r="H416" s="307">
        <f t="shared" ca="1" si="186"/>
        <v>182.83081906577115</v>
      </c>
      <c r="I416" s="304">
        <f t="shared" ca="1" si="187"/>
        <v>184.1892950652564</v>
      </c>
      <c r="J416" s="306">
        <f t="shared" ca="1" si="188"/>
        <v>95.943278778364188</v>
      </c>
      <c r="K416" s="307">
        <f t="shared" ca="1" si="189"/>
        <v>870.40491418257523</v>
      </c>
      <c r="L416" s="304">
        <f t="shared" ca="1" si="174"/>
        <v>875.67678248079585</v>
      </c>
      <c r="M416" s="306">
        <f t="shared" ca="1" si="190"/>
        <v>1.4492684032519212</v>
      </c>
      <c r="N416" s="304">
        <f t="shared" ca="1" si="191"/>
        <v>83.036962887998953</v>
      </c>
      <c r="P416" s="310">
        <f t="shared" ca="1" si="192"/>
        <v>23</v>
      </c>
      <c r="Q416" s="304">
        <f t="shared" ca="1" si="193"/>
        <v>0</v>
      </c>
      <c r="R416" s="306">
        <f t="shared" ca="1" si="194"/>
        <v>0</v>
      </c>
      <c r="S416" s="307">
        <f t="shared" ca="1" si="195"/>
        <v>6.1519999999999921</v>
      </c>
      <c r="T416" s="304">
        <f t="shared" ca="1" si="175"/>
        <v>60.351119999999923</v>
      </c>
      <c r="U416" s="311">
        <f t="shared" ca="1" si="176"/>
        <v>0</v>
      </c>
      <c r="V416" s="306">
        <f t="shared" ca="1" si="177"/>
        <v>1.1228222009340048</v>
      </c>
      <c r="W416" s="304">
        <f t="shared" ca="1" si="178"/>
        <v>88.928174369102649</v>
      </c>
      <c r="Y416" s="314" t="str">
        <f t="shared" ca="1" si="196"/>
        <v/>
      </c>
      <c r="Z416" s="315" t="str">
        <f t="shared" ca="1" si="197"/>
        <v/>
      </c>
      <c r="AA416" s="316" t="str">
        <f t="shared" ca="1" si="198"/>
        <v/>
      </c>
      <c r="AC416" s="310" t="e">
        <f t="shared" ca="1" si="199"/>
        <v>#N/A</v>
      </c>
      <c r="AD416" s="323" t="e">
        <f t="shared" ca="1" si="200"/>
        <v>#N/A</v>
      </c>
      <c r="AE416" s="324">
        <f t="shared" ca="1" si="179"/>
        <v>870.40491418257523</v>
      </c>
      <c r="AG416" s="306">
        <f t="shared" ca="1" si="201"/>
        <v>-24.609821485685721</v>
      </c>
      <c r="AH416" s="304">
        <f t="shared" ca="1" si="202"/>
        <v>-14.871412672368967</v>
      </c>
    </row>
    <row r="417" spans="1:34" x14ac:dyDescent="0.2">
      <c r="A417" s="347">
        <f t="shared" ca="1" si="180"/>
        <v>0.1</v>
      </c>
      <c r="B417" s="304">
        <f t="shared" ca="1" si="181"/>
        <v>5.2999999999999545</v>
      </c>
      <c r="D417" s="306">
        <f t="shared" ca="1" si="182"/>
        <v>-1.7523852220828315</v>
      </c>
      <c r="E417" s="307">
        <f t="shared" ca="1" si="183"/>
        <v>-24.158551769077743</v>
      </c>
      <c r="F417" s="304">
        <f t="shared" ca="1" si="184"/>
        <v>24.222024637626468</v>
      </c>
      <c r="G417" s="306">
        <f t="shared" ca="1" si="185"/>
        <v>22.153846017363364</v>
      </c>
      <c r="H417" s="307">
        <f t="shared" ca="1" si="186"/>
        <v>180.41496388886338</v>
      </c>
      <c r="I417" s="304">
        <f t="shared" ca="1" si="187"/>
        <v>181.77005278202711</v>
      </c>
      <c r="J417" s="306">
        <f t="shared" ca="1" si="188"/>
        <v>98.167425306210944</v>
      </c>
      <c r="K417" s="307">
        <f t="shared" ca="1" si="189"/>
        <v>888.56720333030694</v>
      </c>
      <c r="L417" s="304">
        <f t="shared" ca="1" si="174"/>
        <v>893.97344380327843</v>
      </c>
      <c r="M417" s="306">
        <f t="shared" ca="1" si="190"/>
        <v>1.4486141389313465</v>
      </c>
      <c r="N417" s="304">
        <f t="shared" ca="1" si="191"/>
        <v>82.999476303744032</v>
      </c>
      <c r="P417" s="310">
        <f t="shared" ca="1" si="192"/>
        <v>23</v>
      </c>
      <c r="Q417" s="304">
        <f t="shared" ca="1" si="193"/>
        <v>0</v>
      </c>
      <c r="R417" s="306">
        <f t="shared" ca="1" si="194"/>
        <v>0</v>
      </c>
      <c r="S417" s="307">
        <f t="shared" ca="1" si="195"/>
        <v>6.1519999999999921</v>
      </c>
      <c r="T417" s="304">
        <f t="shared" ca="1" si="175"/>
        <v>60.351119999999923</v>
      </c>
      <c r="U417" s="311">
        <f t="shared" ca="1" si="176"/>
        <v>0</v>
      </c>
      <c r="V417" s="306">
        <f t="shared" ca="1" si="177"/>
        <v>1.1207808055014821</v>
      </c>
      <c r="W417" s="304">
        <f t="shared" ca="1" si="178"/>
        <v>86.449993572308045</v>
      </c>
      <c r="Y417" s="314" t="str">
        <f t="shared" ca="1" si="196"/>
        <v/>
      </c>
      <c r="Z417" s="315" t="str">
        <f t="shared" ca="1" si="197"/>
        <v/>
      </c>
      <c r="AA417" s="316" t="str">
        <f t="shared" ca="1" si="198"/>
        <v/>
      </c>
      <c r="AC417" s="310" t="e">
        <f t="shared" ca="1" si="199"/>
        <v>#N/A</v>
      </c>
      <c r="AD417" s="323" t="e">
        <f t="shared" ca="1" si="200"/>
        <v>#N/A</v>
      </c>
      <c r="AE417" s="324">
        <f t="shared" ca="1" si="179"/>
        <v>888.56720333030694</v>
      </c>
      <c r="AG417" s="306">
        <f t="shared" ca="1" si="201"/>
        <v>-24.192811876359947</v>
      </c>
      <c r="AH417" s="304">
        <f t="shared" ca="1" si="202"/>
        <v>-14.455164884444532</v>
      </c>
    </row>
    <row r="418" spans="1:34" x14ac:dyDescent="0.2">
      <c r="A418" s="347">
        <f t="shared" ca="1" si="180"/>
        <v>0.1</v>
      </c>
      <c r="B418" s="304">
        <f t="shared" ca="1" si="181"/>
        <v>5.3999999999999542</v>
      </c>
      <c r="D418" s="306">
        <f t="shared" ca="1" si="182"/>
        <v>-1.7126768914293355</v>
      </c>
      <c r="E418" s="307">
        <f t="shared" ca="1" si="183"/>
        <v>-23.7575799948387</v>
      </c>
      <c r="F418" s="304">
        <f t="shared" ca="1" si="184"/>
        <v>23.81923318130951</v>
      </c>
      <c r="G418" s="306">
        <f t="shared" ca="1" si="185"/>
        <v>21.982578328220431</v>
      </c>
      <c r="H418" s="307">
        <f t="shared" ca="1" si="186"/>
        <v>178.0392058893795</v>
      </c>
      <c r="I418" s="304">
        <f t="shared" ca="1" si="187"/>
        <v>179.39117197810268</v>
      </c>
      <c r="J418" s="306">
        <f t="shared" ca="1" si="188"/>
        <v>100.37424652349013</v>
      </c>
      <c r="K418" s="307">
        <f t="shared" ca="1" si="189"/>
        <v>906.48991181921906</v>
      </c>
      <c r="L418" s="304">
        <f t="shared" ca="1" si="174"/>
        <v>912.03012537699317</v>
      </c>
      <c r="M418" s="306">
        <f t="shared" ca="1" si="190"/>
        <v>1.4479476471907931</v>
      </c>
      <c r="N418" s="304">
        <f t="shared" ca="1" si="191"/>
        <v>82.961289139929988</v>
      </c>
      <c r="P418" s="310">
        <f t="shared" ca="1" si="192"/>
        <v>23</v>
      </c>
      <c r="Q418" s="304">
        <f t="shared" ca="1" si="193"/>
        <v>0</v>
      </c>
      <c r="R418" s="306">
        <f t="shared" ca="1" si="194"/>
        <v>0</v>
      </c>
      <c r="S418" s="307">
        <f t="shared" ca="1" si="195"/>
        <v>6.1519999999999921</v>
      </c>
      <c r="T418" s="304">
        <f t="shared" ca="1" si="175"/>
        <v>60.351119999999923</v>
      </c>
      <c r="U418" s="311">
        <f t="shared" ca="1" si="176"/>
        <v>0</v>
      </c>
      <c r="V418" s="306">
        <f t="shared" ca="1" si="177"/>
        <v>1.1187698153384644</v>
      </c>
      <c r="W418" s="304">
        <f t="shared" ca="1" si="178"/>
        <v>84.050923366455109</v>
      </c>
      <c r="Y418" s="314" t="str">
        <f t="shared" ca="1" si="196"/>
        <v/>
      </c>
      <c r="Z418" s="315" t="str">
        <f t="shared" ca="1" si="197"/>
        <v/>
      </c>
      <c r="AA418" s="316" t="str">
        <f t="shared" ca="1" si="198"/>
        <v/>
      </c>
      <c r="AC418" s="310" t="e">
        <f t="shared" ca="1" si="199"/>
        <v>#N/A</v>
      </c>
      <c r="AD418" s="323" t="e">
        <f t="shared" ca="1" si="200"/>
        <v>#N/A</v>
      </c>
      <c r="AE418" s="324">
        <f t="shared" ca="1" si="179"/>
        <v>906.48991181921906</v>
      </c>
      <c r="AG418" s="306">
        <f t="shared" ca="1" si="201"/>
        <v>-23.789206477104514</v>
      </c>
      <c r="AH418" s="304">
        <f t="shared" ca="1" si="202"/>
        <v>-14.052339657397294</v>
      </c>
    </row>
    <row r="419" spans="1:34" x14ac:dyDescent="0.2">
      <c r="A419" s="347">
        <f t="shared" ca="1" si="180"/>
        <v>0.1</v>
      </c>
      <c r="B419" s="304">
        <f t="shared" ca="1" si="181"/>
        <v>5.4999999999999538</v>
      </c>
      <c r="D419" s="306">
        <f t="shared" ca="1" si="182"/>
        <v>-1.67418607057869</v>
      </c>
      <c r="E419" s="307">
        <f t="shared" ca="1" si="183"/>
        <v>-23.369408458207943</v>
      </c>
      <c r="F419" s="304">
        <f t="shared" ca="1" si="184"/>
        <v>23.429301113893274</v>
      </c>
      <c r="G419" s="306">
        <f t="shared" ca="1" si="185"/>
        <v>21.815159721162562</v>
      </c>
      <c r="H419" s="307">
        <f t="shared" ca="1" si="186"/>
        <v>175.7022650435587</v>
      </c>
      <c r="I419" s="304">
        <f t="shared" ca="1" si="187"/>
        <v>177.05136863378601</v>
      </c>
      <c r="J419" s="306">
        <f t="shared" ca="1" si="188"/>
        <v>102.56413342595928</v>
      </c>
      <c r="K419" s="307">
        <f t="shared" ca="1" si="189"/>
        <v>924.17698536586602</v>
      </c>
      <c r="L419" s="304">
        <f t="shared" ca="1" si="174"/>
        <v>929.85079542115682</v>
      </c>
      <c r="M419" s="306">
        <f t="shared" ca="1" si="190"/>
        <v>1.4472686823045493</v>
      </c>
      <c r="N419" s="304">
        <f t="shared" ca="1" si="191"/>
        <v>82.922387317510641</v>
      </c>
      <c r="P419" s="310">
        <f t="shared" ca="1" si="192"/>
        <v>23</v>
      </c>
      <c r="Q419" s="304">
        <f t="shared" ca="1" si="193"/>
        <v>0</v>
      </c>
      <c r="R419" s="306">
        <f t="shared" ca="1" si="194"/>
        <v>0</v>
      </c>
      <c r="S419" s="307">
        <f t="shared" ca="1" si="195"/>
        <v>6.1519999999999921</v>
      </c>
      <c r="T419" s="304">
        <f t="shared" ca="1" si="175"/>
        <v>60.351119999999923</v>
      </c>
      <c r="U419" s="311">
        <f t="shared" ca="1" si="176"/>
        <v>0</v>
      </c>
      <c r="V419" s="306">
        <f t="shared" ca="1" si="177"/>
        <v>1.1167886416402446</v>
      </c>
      <c r="W419" s="304">
        <f t="shared" ca="1" si="178"/>
        <v>81.727681521349993</v>
      </c>
      <c r="Y419" s="314" t="str">
        <f t="shared" ca="1" si="196"/>
        <v/>
      </c>
      <c r="Z419" s="315" t="str">
        <f t="shared" ca="1" si="197"/>
        <v/>
      </c>
      <c r="AA419" s="316" t="str">
        <f t="shared" ca="1" si="198"/>
        <v/>
      </c>
      <c r="AC419" s="310" t="e">
        <f t="shared" ca="1" si="199"/>
        <v>#N/A</v>
      </c>
      <c r="AD419" s="323" t="e">
        <f t="shared" ca="1" si="200"/>
        <v>#N/A</v>
      </c>
      <c r="AE419" s="324">
        <f t="shared" ca="1" si="179"/>
        <v>924.17698536586602</v>
      </c>
      <c r="AG419" s="306">
        <f t="shared" ca="1" si="201"/>
        <v>-23.398441540639276</v>
      </c>
      <c r="AH419" s="304">
        <f t="shared" ca="1" si="202"/>
        <v>-13.662373759176726</v>
      </c>
    </row>
    <row r="420" spans="1:34" x14ac:dyDescent="0.2">
      <c r="A420" s="347">
        <f t="shared" ca="1" si="180"/>
        <v>0.1</v>
      </c>
      <c r="B420" s="304">
        <f t="shared" ca="1" si="181"/>
        <v>5.5999999999999535</v>
      </c>
      <c r="D420" s="306">
        <f t="shared" ca="1" si="182"/>
        <v>-1.6368616014775021</v>
      </c>
      <c r="E420" s="307">
        <f t="shared" ca="1" si="183"/>
        <v>-22.993506085606477</v>
      </c>
      <c r="F420" s="304">
        <f t="shared" ca="1" si="184"/>
        <v>23.051694905390658</v>
      </c>
      <c r="G420" s="306">
        <f t="shared" ca="1" si="185"/>
        <v>21.651473561014811</v>
      </c>
      <c r="H420" s="307">
        <f t="shared" ca="1" si="186"/>
        <v>173.40291443499805</v>
      </c>
      <c r="I420" s="304">
        <f t="shared" ca="1" si="187"/>
        <v>174.74941213610586</v>
      </c>
      <c r="J420" s="306">
        <f t="shared" ca="1" si="188"/>
        <v>104.73746509006816</v>
      </c>
      <c r="K420" s="307">
        <f t="shared" ca="1" si="189"/>
        <v>941.63224433979383</v>
      </c>
      <c r="L420" s="304">
        <f t="shared" ca="1" si="174"/>
        <v>947.43929630023808</v>
      </c>
      <c r="M420" s="306">
        <f t="shared" ca="1" si="190"/>
        <v>1.4465769908227606</v>
      </c>
      <c r="N420" s="304">
        <f t="shared" ca="1" si="191"/>
        <v>82.882756314879003</v>
      </c>
      <c r="P420" s="310">
        <f t="shared" ca="1" si="192"/>
        <v>23</v>
      </c>
      <c r="Q420" s="304">
        <f t="shared" ca="1" si="193"/>
        <v>0</v>
      </c>
      <c r="R420" s="306">
        <f t="shared" ca="1" si="194"/>
        <v>0</v>
      </c>
      <c r="S420" s="307">
        <f t="shared" ca="1" si="195"/>
        <v>6.1519999999999921</v>
      </c>
      <c r="T420" s="304">
        <f t="shared" ca="1" si="175"/>
        <v>60.351119999999923</v>
      </c>
      <c r="U420" s="311">
        <f t="shared" ca="1" si="176"/>
        <v>0</v>
      </c>
      <c r="V420" s="306">
        <f t="shared" ca="1" si="177"/>
        <v>1.1148367151273013</v>
      </c>
      <c r="W420" s="304">
        <f t="shared" ca="1" si="178"/>
        <v>79.477157084870569</v>
      </c>
      <c r="Y420" s="314" t="str">
        <f t="shared" ca="1" si="196"/>
        <v/>
      </c>
      <c r="Z420" s="315" t="str">
        <f t="shared" ca="1" si="197"/>
        <v/>
      </c>
      <c r="AA420" s="316" t="str">
        <f t="shared" ca="1" si="198"/>
        <v/>
      </c>
      <c r="AC420" s="310" t="e">
        <f t="shared" ca="1" si="199"/>
        <v>#N/A</v>
      </c>
      <c r="AD420" s="323" t="e">
        <f t="shared" ca="1" si="200"/>
        <v>#N/A</v>
      </c>
      <c r="AE420" s="324">
        <f t="shared" ca="1" si="179"/>
        <v>941.63224433979383</v>
      </c>
      <c r="AG420" s="306">
        <f t="shared" ca="1" si="201"/>
        <v>-23.019983009799937</v>
      </c>
      <c r="AH420" s="304">
        <f t="shared" ca="1" si="202"/>
        <v>-13.284733667319587</v>
      </c>
    </row>
    <row r="421" spans="1:34" x14ac:dyDescent="0.2">
      <c r="A421" s="347">
        <f t="shared" ca="1" si="180"/>
        <v>0.1</v>
      </c>
      <c r="B421" s="304">
        <f t="shared" ca="1" si="181"/>
        <v>5.6999999999999531</v>
      </c>
      <c r="D421" s="306">
        <f t="shared" ca="1" si="182"/>
        <v>-1.6006549893479418</v>
      </c>
      <c r="E421" s="307">
        <f t="shared" ca="1" si="183"/>
        <v>-22.629369516614297</v>
      </c>
      <c r="F421" s="304">
        <f t="shared" ca="1" si="184"/>
        <v>22.685908866836186</v>
      </c>
      <c r="G421" s="306">
        <f t="shared" ca="1" si="185"/>
        <v>21.491408062080016</v>
      </c>
      <c r="H421" s="307">
        <f t="shared" ca="1" si="186"/>
        <v>171.13997748333662</v>
      </c>
      <c r="I421" s="304">
        <f t="shared" ca="1" si="187"/>
        <v>172.48412249679043</v>
      </c>
      <c r="J421" s="306">
        <f t="shared" ca="1" si="188"/>
        <v>106.8946091712229</v>
      </c>
      <c r="K421" s="307">
        <f t="shared" ca="1" si="189"/>
        <v>958.85938893571051</v>
      </c>
      <c r="L421" s="304">
        <f t="shared" ca="1" si="174"/>
        <v>964.79934971994703</v>
      </c>
      <c r="M421" s="306">
        <f t="shared" ca="1" si="190"/>
        <v>1.4458723112938892</v>
      </c>
      <c r="N421" s="304">
        <f t="shared" ca="1" si="191"/>
        <v>82.842381151965398</v>
      </c>
      <c r="P421" s="310">
        <f t="shared" ca="1" si="192"/>
        <v>23</v>
      </c>
      <c r="Q421" s="304">
        <f t="shared" ca="1" si="193"/>
        <v>0</v>
      </c>
      <c r="R421" s="306">
        <f t="shared" ca="1" si="194"/>
        <v>0</v>
      </c>
      <c r="S421" s="307">
        <f t="shared" ca="1" si="195"/>
        <v>6.1519999999999921</v>
      </c>
      <c r="T421" s="304">
        <f t="shared" ca="1" si="175"/>
        <v>60.351119999999923</v>
      </c>
      <c r="U421" s="311">
        <f t="shared" ca="1" si="176"/>
        <v>0</v>
      </c>
      <c r="V421" s="306">
        <f t="shared" ca="1" si="177"/>
        <v>1.1129134852093789</v>
      </c>
      <c r="W421" s="304">
        <f t="shared" ca="1" si="178"/>
        <v>77.296399726335679</v>
      </c>
      <c r="Y421" s="314" t="str">
        <f t="shared" ca="1" si="196"/>
        <v/>
      </c>
      <c r="Z421" s="315" t="str">
        <f t="shared" ca="1" si="197"/>
        <v/>
      </c>
      <c r="AA421" s="316" t="str">
        <f t="shared" ca="1" si="198"/>
        <v/>
      </c>
      <c r="AC421" s="310" t="e">
        <f t="shared" ca="1" si="199"/>
        <v>#N/A</v>
      </c>
      <c r="AD421" s="323" t="e">
        <f t="shared" ca="1" si="200"/>
        <v>#N/A</v>
      </c>
      <c r="AE421" s="324">
        <f t="shared" ca="1" si="179"/>
        <v>958.85938893571051</v>
      </c>
      <c r="AG421" s="306">
        <f t="shared" ca="1" si="201"/>
        <v>-22.65332464813298</v>
      </c>
      <c r="AH421" s="304">
        <f t="shared" ca="1" si="202"/>
        <v>-12.918913700401605</v>
      </c>
    </row>
    <row r="422" spans="1:34" x14ac:dyDescent="0.2">
      <c r="A422" s="347">
        <f t="shared" ca="1" si="180"/>
        <v>0.1</v>
      </c>
      <c r="B422" s="304">
        <f t="shared" ca="1" si="181"/>
        <v>5.7999999999999527</v>
      </c>
      <c r="D422" s="306">
        <f t="shared" ca="1" si="182"/>
        <v>-1.5655202368593106</v>
      </c>
      <c r="E422" s="307">
        <f t="shared" ca="1" si="183"/>
        <v>-22.276521379701524</v>
      </c>
      <c r="F422" s="304">
        <f t="shared" ca="1" si="184"/>
        <v>22.331463418063652</v>
      </c>
      <c r="G422" s="306">
        <f t="shared" ca="1" si="185"/>
        <v>21.334856038394083</v>
      </c>
      <c r="H422" s="307">
        <f t="shared" ca="1" si="186"/>
        <v>168.91232534536647</v>
      </c>
      <c r="I422" s="304">
        <f t="shared" ca="1" si="187"/>
        <v>170.2543677435558</v>
      </c>
      <c r="J422" s="306">
        <f t="shared" ca="1" si="188"/>
        <v>109.0359223762466</v>
      </c>
      <c r="K422" s="307">
        <f t="shared" ca="1" si="189"/>
        <v>975.86200407714568</v>
      </c>
      <c r="L422" s="304">
        <f t="shared" ca="1" si="174"/>
        <v>981.93456165362761</v>
      </c>
      <c r="M422" s="306">
        <f t="shared" ca="1" si="190"/>
        <v>1.4451543739744719</v>
      </c>
      <c r="N422" s="304">
        <f t="shared" ca="1" si="191"/>
        <v>82.801246373607853</v>
      </c>
      <c r="P422" s="310">
        <f t="shared" ca="1" si="192"/>
        <v>23</v>
      </c>
      <c r="Q422" s="304">
        <f t="shared" ca="1" si="193"/>
        <v>0</v>
      </c>
      <c r="R422" s="306">
        <f t="shared" ca="1" si="194"/>
        <v>0</v>
      </c>
      <c r="S422" s="307">
        <f t="shared" ca="1" si="195"/>
        <v>6.1519999999999921</v>
      </c>
      <c r="T422" s="304">
        <f t="shared" ca="1" si="175"/>
        <v>60.351119999999923</v>
      </c>
      <c r="U422" s="311">
        <f t="shared" ca="1" si="176"/>
        <v>0</v>
      </c>
      <c r="V422" s="306">
        <f t="shared" ca="1" si="177"/>
        <v>1.1110184191942012</v>
      </c>
      <c r="W422" s="304">
        <f t="shared" ca="1" si="178"/>
        <v>75.182609849127502</v>
      </c>
      <c r="Y422" s="314" t="str">
        <f t="shared" ca="1" si="196"/>
        <v/>
      </c>
      <c r="Z422" s="315" t="str">
        <f t="shared" ca="1" si="197"/>
        <v/>
      </c>
      <c r="AA422" s="316" t="str">
        <f t="shared" ca="1" si="198"/>
        <v/>
      </c>
      <c r="AC422" s="310" t="e">
        <f t="shared" ca="1" si="199"/>
        <v>#N/A</v>
      </c>
      <c r="AD422" s="323" t="e">
        <f t="shared" ca="1" si="200"/>
        <v>#N/A</v>
      </c>
      <c r="AE422" s="324">
        <f t="shared" ca="1" si="179"/>
        <v>975.86200407714568</v>
      </c>
      <c r="AG422" s="306">
        <f t="shared" ca="1" si="201"/>
        <v>-22.297986306771747</v>
      </c>
      <c r="AH422" s="304">
        <f t="shared" ca="1" si="202"/>
        <v>-12.564434285815308</v>
      </c>
    </row>
    <row r="423" spans="1:34" x14ac:dyDescent="0.2">
      <c r="A423" s="347">
        <f t="shared" ca="1" si="180"/>
        <v>0.1</v>
      </c>
      <c r="B423" s="304">
        <f t="shared" ca="1" si="181"/>
        <v>5.8999999999999524</v>
      </c>
      <c r="D423" s="306">
        <f t="shared" ca="1" si="182"/>
        <v>-1.531413690269644</v>
      </c>
      <c r="E423" s="307">
        <f t="shared" ca="1" si="183"/>
        <v>-21.93450869242637</v>
      </c>
      <c r="F423" s="304">
        <f t="shared" ca="1" si="184"/>
        <v>21.987903480524768</v>
      </c>
      <c r="G423" s="306">
        <f t="shared" ca="1" si="185"/>
        <v>21.181714669367118</v>
      </c>
      <c r="H423" s="307">
        <f t="shared" ca="1" si="186"/>
        <v>166.71887447612383</v>
      </c>
      <c r="I423" s="304">
        <f t="shared" ca="1" si="187"/>
        <v>168.05906147220986</v>
      </c>
      <c r="J423" s="306">
        <f t="shared" ca="1" si="188"/>
        <v>111.16175091163467</v>
      </c>
      <c r="K423" s="307">
        <f t="shared" ca="1" si="189"/>
        <v>992.64356406822026</v>
      </c>
      <c r="L423" s="304">
        <f t="shared" ca="1" si="174"/>
        <v>998.84842701573052</v>
      </c>
      <c r="M423" s="306">
        <f t="shared" ca="1" si="190"/>
        <v>1.4444229005255227</v>
      </c>
      <c r="N423" s="304">
        <f t="shared" ca="1" si="191"/>
        <v>82.759336032157194</v>
      </c>
      <c r="P423" s="310">
        <f t="shared" ca="1" si="192"/>
        <v>23</v>
      </c>
      <c r="Q423" s="304">
        <f t="shared" ca="1" si="193"/>
        <v>0</v>
      </c>
      <c r="R423" s="306">
        <f t="shared" ca="1" si="194"/>
        <v>0</v>
      </c>
      <c r="S423" s="307">
        <f t="shared" ca="1" si="195"/>
        <v>6.1519999999999921</v>
      </c>
      <c r="T423" s="304">
        <f t="shared" ca="1" si="175"/>
        <v>60.351119999999923</v>
      </c>
      <c r="U423" s="311">
        <f t="shared" ca="1" si="176"/>
        <v>0</v>
      </c>
      <c r="V423" s="306">
        <f t="shared" ca="1" si="177"/>
        <v>1.109151001537996</v>
      </c>
      <c r="W423" s="304">
        <f t="shared" ca="1" si="178"/>
        <v>73.133129409557796</v>
      </c>
      <c r="Y423" s="314" t="str">
        <f t="shared" ca="1" si="196"/>
        <v/>
      </c>
      <c r="Z423" s="315" t="str">
        <f t="shared" ca="1" si="197"/>
        <v/>
      </c>
      <c r="AA423" s="316" t="str">
        <f t="shared" ca="1" si="198"/>
        <v/>
      </c>
      <c r="AC423" s="310" t="e">
        <f t="shared" ca="1" si="199"/>
        <v>#N/A</v>
      </c>
      <c r="AD423" s="323" t="e">
        <f t="shared" ca="1" si="200"/>
        <v>#N/A</v>
      </c>
      <c r="AE423" s="324">
        <f t="shared" ca="1" si="179"/>
        <v>992.64356406822026</v>
      </c>
      <c r="AG423" s="306">
        <f t="shared" ca="1" si="201"/>
        <v>-21.953512316305869</v>
      </c>
      <c r="AH423" s="304">
        <f t="shared" ca="1" si="202"/>
        <v>-12.220840352589011</v>
      </c>
    </row>
    <row r="424" spans="1:34" x14ac:dyDescent="0.2">
      <c r="A424" s="347">
        <f t="shared" ca="1" si="180"/>
        <v>0.1</v>
      </c>
      <c r="B424" s="304">
        <f t="shared" ca="1" si="181"/>
        <v>5.999999999999952</v>
      </c>
      <c r="D424" s="306">
        <f t="shared" ca="1" si="182"/>
        <v>-1.498293896556838</v>
      </c>
      <c r="E424" s="307">
        <f t="shared" ca="1" si="183"/>
        <v>-21.602901375904771</v>
      </c>
      <c r="F424" s="304">
        <f t="shared" ca="1" si="184"/>
        <v>21.654796984906781</v>
      </c>
      <c r="G424" s="306">
        <f t="shared" ca="1" si="185"/>
        <v>21.031885279711435</v>
      </c>
      <c r="H424" s="307">
        <f t="shared" ca="1" si="186"/>
        <v>164.55858433853336</v>
      </c>
      <c r="I424" s="304">
        <f t="shared" ca="1" si="187"/>
        <v>165.89716054809722</v>
      </c>
      <c r="J424" s="306">
        <f t="shared" ca="1" si="188"/>
        <v>113.2724309090886</v>
      </c>
      <c r="K424" s="307">
        <f t="shared" ca="1" si="189"/>
        <v>1009.2074370089531</v>
      </c>
      <c r="L424" s="304">
        <f t="shared" ca="1" si="174"/>
        <v>1015.5443340978444</v>
      </c>
      <c r="M424" s="306">
        <f t="shared" ca="1" si="190"/>
        <v>1.4436776036948835</v>
      </c>
      <c r="N424" s="304">
        <f t="shared" ca="1" si="191"/>
        <v>82.716633669277087</v>
      </c>
      <c r="P424" s="310">
        <f t="shared" ca="1" si="192"/>
        <v>23</v>
      </c>
      <c r="Q424" s="304">
        <f t="shared" ca="1" si="193"/>
        <v>0</v>
      </c>
      <c r="R424" s="306">
        <f t="shared" ca="1" si="194"/>
        <v>0</v>
      </c>
      <c r="S424" s="307">
        <f t="shared" ca="1" si="195"/>
        <v>6.1519999999999921</v>
      </c>
      <c r="T424" s="304">
        <f t="shared" ca="1" si="175"/>
        <v>60.351119999999923</v>
      </c>
      <c r="U424" s="311">
        <f t="shared" ca="1" si="176"/>
        <v>0</v>
      </c>
      <c r="V424" s="306">
        <f t="shared" ca="1" si="177"/>
        <v>1.1073107331352072</v>
      </c>
      <c r="W424" s="304">
        <f t="shared" ca="1" si="178"/>
        <v>71.145433384730879</v>
      </c>
      <c r="Y424" s="314" t="str">
        <f t="shared" ca="1" si="196"/>
        <v/>
      </c>
      <c r="Z424" s="315" t="str">
        <f t="shared" ca="1" si="197"/>
        <v/>
      </c>
      <c r="AA424" s="316" t="str">
        <f t="shared" ca="1" si="198"/>
        <v/>
      </c>
      <c r="AC424" s="310">
        <f t="shared" ca="1" si="199"/>
        <v>5.999999999999952</v>
      </c>
      <c r="AD424" s="323">
        <f t="shared" ca="1" si="200"/>
        <v>113.2724309090886</v>
      </c>
      <c r="AE424" s="324">
        <f t="shared" ca="1" si="179"/>
        <v>1009.2074370089531</v>
      </c>
      <c r="AG424" s="306">
        <f t="shared" ca="1" si="201"/>
        <v>-21.619469993399193</v>
      </c>
      <c r="AH424" s="304">
        <f t="shared" ca="1" si="202"/>
        <v>-11.887699839004858</v>
      </c>
    </row>
    <row r="425" spans="1:34" x14ac:dyDescent="0.2">
      <c r="A425" s="347">
        <f t="shared" ca="1" si="180"/>
        <v>0.1</v>
      </c>
      <c r="B425" s="304">
        <f t="shared" ca="1" si="181"/>
        <v>6.0999999999999517</v>
      </c>
      <c r="D425" s="306">
        <f t="shared" ca="1" si="182"/>
        <v>-1.4661214706485186</v>
      </c>
      <c r="E425" s="307">
        <f t="shared" ca="1" si="183"/>
        <v>-21.281290874289081</v>
      </c>
      <c r="F425" s="304">
        <f t="shared" ca="1" si="184"/>
        <v>21.331733484243522</v>
      </c>
      <c r="G425" s="306">
        <f t="shared" ca="1" si="185"/>
        <v>20.885273132646585</v>
      </c>
      <c r="H425" s="307">
        <f t="shared" ca="1" si="186"/>
        <v>162.43045525110446</v>
      </c>
      <c r="I425" s="304">
        <f t="shared" ca="1" si="187"/>
        <v>163.76766294634083</v>
      </c>
      <c r="J425" s="306">
        <f t="shared" ca="1" si="188"/>
        <v>115.3682888297065</v>
      </c>
      <c r="K425" s="307">
        <f t="shared" ca="1" si="189"/>
        <v>1025.556888988435</v>
      </c>
      <c r="L425" s="304">
        <f t="shared" ca="1" si="174"/>
        <v>1032.0255687816712</v>
      </c>
      <c r="M425" s="306">
        <f t="shared" ca="1" si="190"/>
        <v>1.4429181869847898</v>
      </c>
      <c r="N425" s="304">
        <f t="shared" ca="1" si="191"/>
        <v>82.673122296897006</v>
      </c>
      <c r="P425" s="310">
        <f t="shared" ca="1" si="192"/>
        <v>23</v>
      </c>
      <c r="Q425" s="304">
        <f t="shared" ca="1" si="193"/>
        <v>0</v>
      </c>
      <c r="R425" s="306">
        <f t="shared" ca="1" si="194"/>
        <v>0</v>
      </c>
      <c r="S425" s="307">
        <f t="shared" ca="1" si="195"/>
        <v>6.1519999999999921</v>
      </c>
      <c r="T425" s="304">
        <f t="shared" ca="1" si="175"/>
        <v>60.351119999999923</v>
      </c>
      <c r="U425" s="311">
        <f t="shared" ca="1" si="176"/>
        <v>0</v>
      </c>
      <c r="V425" s="306">
        <f t="shared" ca="1" si="177"/>
        <v>1.1054971306449641</v>
      </c>
      <c r="W425" s="304">
        <f t="shared" ca="1" si="178"/>
        <v>69.217121837338041</v>
      </c>
      <c r="Y425" s="314" t="str">
        <f t="shared" ca="1" si="196"/>
        <v/>
      </c>
      <c r="Z425" s="315" t="str">
        <f t="shared" ca="1" si="197"/>
        <v/>
      </c>
      <c r="AA425" s="316" t="str">
        <f t="shared" ca="1" si="198"/>
        <v/>
      </c>
      <c r="AC425" s="310" t="e">
        <f t="shared" ca="1" si="199"/>
        <v>#N/A</v>
      </c>
      <c r="AD425" s="323" t="e">
        <f t="shared" ca="1" si="200"/>
        <v>#N/A</v>
      </c>
      <c r="AE425" s="324">
        <f t="shared" ca="1" si="179"/>
        <v>1025.556888988435</v>
      </c>
      <c r="AG425" s="306">
        <f t="shared" ca="1" si="201"/>
        <v>-21.295448252847642</v>
      </c>
      <c r="AH425" s="304">
        <f t="shared" ca="1" si="202"/>
        <v>-11.564602305710496</v>
      </c>
    </row>
    <row r="426" spans="1:34" x14ac:dyDescent="0.2">
      <c r="A426" s="347">
        <f t="shared" ca="1" si="180"/>
        <v>0.1</v>
      </c>
      <c r="B426" s="304">
        <f t="shared" ca="1" si="181"/>
        <v>6.1999999999999513</v>
      </c>
      <c r="D426" s="306">
        <f t="shared" ca="1" si="182"/>
        <v>-1.4348589719404463</v>
      </c>
      <c r="E426" s="307">
        <f t="shared" ca="1" si="183"/>
        <v>-20.969288870831466</v>
      </c>
      <c r="F426" s="304">
        <f t="shared" ca="1" si="184"/>
        <v>21.018322864056834</v>
      </c>
      <c r="G426" s="306">
        <f t="shared" ca="1" si="185"/>
        <v>20.741787235452541</v>
      </c>
      <c r="H426" s="307">
        <f t="shared" ca="1" si="186"/>
        <v>160.33352636402131</v>
      </c>
      <c r="I426" s="304">
        <f t="shared" ca="1" si="187"/>
        <v>161.66960572118401</v>
      </c>
      <c r="J426" s="306">
        <f t="shared" ca="1" si="188"/>
        <v>117.44964184811145</v>
      </c>
      <c r="K426" s="307">
        <f t="shared" ca="1" si="189"/>
        <v>1041.6950880691913</v>
      </c>
      <c r="L426" s="304">
        <f t="shared" ca="1" si="174"/>
        <v>1048.2953185423132</v>
      </c>
      <c r="M426" s="306">
        <f t="shared" ca="1" si="190"/>
        <v>1.4421443443038677</v>
      </c>
      <c r="N426" s="304">
        <f t="shared" ca="1" si="191"/>
        <v>82.628784377273078</v>
      </c>
      <c r="P426" s="310">
        <f t="shared" ca="1" si="192"/>
        <v>23</v>
      </c>
      <c r="Q426" s="304">
        <f t="shared" ca="1" si="193"/>
        <v>0</v>
      </c>
      <c r="R426" s="306">
        <f t="shared" ca="1" si="194"/>
        <v>0</v>
      </c>
      <c r="S426" s="307">
        <f t="shared" ca="1" si="195"/>
        <v>6.1519999999999921</v>
      </c>
      <c r="T426" s="304">
        <f t="shared" ca="1" si="175"/>
        <v>60.351119999999923</v>
      </c>
      <c r="U426" s="311">
        <f t="shared" ca="1" si="176"/>
        <v>0</v>
      </c>
      <c r="V426" s="306">
        <f t="shared" ca="1" si="177"/>
        <v>1.1037097258520485</v>
      </c>
      <c r="W426" s="304">
        <f t="shared" ca="1" si="178"/>
        <v>67.345912529982698</v>
      </c>
      <c r="Y426" s="314" t="str">
        <f t="shared" ca="1" si="196"/>
        <v/>
      </c>
      <c r="Z426" s="315" t="str">
        <f t="shared" ca="1" si="197"/>
        <v/>
      </c>
      <c r="AA426" s="316" t="str">
        <f t="shared" ca="1" si="198"/>
        <v/>
      </c>
      <c r="AC426" s="310" t="e">
        <f t="shared" ca="1" si="199"/>
        <v>#N/A</v>
      </c>
      <c r="AD426" s="323" t="e">
        <f t="shared" ca="1" si="200"/>
        <v>#N/A</v>
      </c>
      <c r="AE426" s="324">
        <f t="shared" ca="1" si="179"/>
        <v>1041.6950880691913</v>
      </c>
      <c r="AG426" s="306">
        <f t="shared" ca="1" si="201"/>
        <v>-20.981056316610587</v>
      </c>
      <c r="AH426" s="304">
        <f t="shared" ca="1" si="202"/>
        <v>-11.251157645861204</v>
      </c>
    </row>
    <row r="427" spans="1:34" x14ac:dyDescent="0.2">
      <c r="A427" s="347">
        <f t="shared" ca="1" si="180"/>
        <v>0.1</v>
      </c>
      <c r="B427" s="304">
        <f t="shared" ca="1" si="181"/>
        <v>6.299999999999951</v>
      </c>
      <c r="D427" s="306">
        <f t="shared" ca="1" si="182"/>
        <v>-1.4044707893658859</v>
      </c>
      <c r="E427" s="307">
        <f t="shared" ca="1" si="183"/>
        <v>-20.666526092862512</v>
      </c>
      <c r="F427" s="304">
        <f t="shared" ca="1" si="184"/>
        <v>20.714194141823356</v>
      </c>
      <c r="G427" s="306">
        <f t="shared" ca="1" si="185"/>
        <v>20.601340156515953</v>
      </c>
      <c r="H427" s="307">
        <f t="shared" ca="1" si="186"/>
        <v>158.26687375473506</v>
      </c>
      <c r="I427" s="304">
        <f t="shared" ca="1" si="187"/>
        <v>159.60206309550551</v>
      </c>
      <c r="J427" s="306">
        <f t="shared" ca="1" si="188"/>
        <v>119.51679821770988</v>
      </c>
      <c r="K427" s="307">
        <f t="shared" ca="1" si="189"/>
        <v>1057.6251080751292</v>
      </c>
      <c r="L427" s="304">
        <f t="shared" ca="1" si="174"/>
        <v>1064.3566762543192</v>
      </c>
      <c r="M427" s="306">
        <f t="shared" ca="1" si="190"/>
        <v>1.4413557596027353</v>
      </c>
      <c r="N427" s="304">
        <f t="shared" ca="1" si="191"/>
        <v>82.583601802109612</v>
      </c>
      <c r="P427" s="310">
        <f t="shared" ca="1" si="192"/>
        <v>23</v>
      </c>
      <c r="Q427" s="304">
        <f t="shared" ca="1" si="193"/>
        <v>0</v>
      </c>
      <c r="R427" s="306">
        <f t="shared" ca="1" si="194"/>
        <v>0</v>
      </c>
      <c r="S427" s="307">
        <f t="shared" ca="1" si="195"/>
        <v>6.1519999999999921</v>
      </c>
      <c r="T427" s="304">
        <f t="shared" ca="1" si="175"/>
        <v>60.351119999999923</v>
      </c>
      <c r="U427" s="311">
        <f t="shared" ca="1" si="176"/>
        <v>0</v>
      </c>
      <c r="V427" s="306">
        <f t="shared" ca="1" si="177"/>
        <v>1.1019480650602711</v>
      </c>
      <c r="W427" s="304">
        <f t="shared" ca="1" si="178"/>
        <v>65.529634045839188</v>
      </c>
      <c r="Y427" s="314" t="str">
        <f t="shared" ca="1" si="196"/>
        <v/>
      </c>
      <c r="Z427" s="315" t="str">
        <f t="shared" ca="1" si="197"/>
        <v/>
      </c>
      <c r="AA427" s="316" t="str">
        <f t="shared" ca="1" si="198"/>
        <v/>
      </c>
      <c r="AC427" s="310" t="e">
        <f t="shared" ca="1" si="199"/>
        <v>#N/A</v>
      </c>
      <c r="AD427" s="323" t="e">
        <f t="shared" ca="1" si="200"/>
        <v>#N/A</v>
      </c>
      <c r="AE427" s="324">
        <f t="shared" ca="1" si="179"/>
        <v>1057.6251080751292</v>
      </c>
      <c r="AG427" s="306">
        <f t="shared" ca="1" si="201"/>
        <v>-20.675922512107306</v>
      </c>
      <c r="AH427" s="304">
        <f t="shared" ca="1" si="202"/>
        <v>-10.946994884587578</v>
      </c>
    </row>
    <row r="428" spans="1:34" x14ac:dyDescent="0.2">
      <c r="A428" s="347">
        <f t="shared" ca="1" si="180"/>
        <v>0.1</v>
      </c>
      <c r="B428" s="304">
        <f t="shared" ca="1" si="181"/>
        <v>6.3999999999999506</v>
      </c>
      <c r="D428" s="306">
        <f t="shared" ca="1" si="182"/>
        <v>-1.3749230343437457</v>
      </c>
      <c r="E428" s="307">
        <f t="shared" ca="1" si="183"/>
        <v>-20.372651198695593</v>
      </c>
      <c r="F428" s="304">
        <f t="shared" ca="1" si="184"/>
        <v>20.418994348745041</v>
      </c>
      <c r="G428" s="306">
        <f t="shared" ca="1" si="185"/>
        <v>20.463847853081578</v>
      </c>
      <c r="H428" s="307">
        <f t="shared" ca="1" si="186"/>
        <v>156.22960863486549</v>
      </c>
      <c r="I428" s="304">
        <f t="shared" ca="1" si="187"/>
        <v>157.56414466228446</v>
      </c>
      <c r="J428" s="306">
        <f t="shared" ca="1" si="188"/>
        <v>121.57005761818975</v>
      </c>
      <c r="K428" s="307">
        <f t="shared" ca="1" si="189"/>
        <v>1073.3499321946092</v>
      </c>
      <c r="L428" s="304">
        <f t="shared" ca="1" si="174"/>
        <v>1080.2126438120702</v>
      </c>
      <c r="M428" s="306">
        <f t="shared" ca="1" si="190"/>
        <v>1.4405521064923232</v>
      </c>
      <c r="N428" s="304">
        <f t="shared" ca="1" si="191"/>
        <v>82.53755587069044</v>
      </c>
      <c r="P428" s="310">
        <f t="shared" ca="1" si="192"/>
        <v>23</v>
      </c>
      <c r="Q428" s="304">
        <f t="shared" ca="1" si="193"/>
        <v>0</v>
      </c>
      <c r="R428" s="306">
        <f t="shared" ca="1" si="194"/>
        <v>0</v>
      </c>
      <c r="S428" s="307">
        <f t="shared" ca="1" si="195"/>
        <v>6.1519999999999921</v>
      </c>
      <c r="T428" s="304">
        <f t="shared" ca="1" si="175"/>
        <v>60.351119999999923</v>
      </c>
      <c r="U428" s="311">
        <f t="shared" ca="1" si="176"/>
        <v>0</v>
      </c>
      <c r="V428" s="306">
        <f t="shared" ca="1" si="177"/>
        <v>1.1002117085162963</v>
      </c>
      <c r="W428" s="304">
        <f t="shared" ca="1" si="178"/>
        <v>63.766219376240464</v>
      </c>
      <c r="Y428" s="314" t="str">
        <f t="shared" ca="1" si="196"/>
        <v/>
      </c>
      <c r="Z428" s="315" t="str">
        <f t="shared" ca="1" si="197"/>
        <v/>
      </c>
      <c r="AA428" s="316" t="str">
        <f t="shared" ca="1" si="198"/>
        <v/>
      </c>
      <c r="AC428" s="310" t="e">
        <f t="shared" ca="1" si="199"/>
        <v>#N/A</v>
      </c>
      <c r="AD428" s="323" t="e">
        <f t="shared" ca="1" si="200"/>
        <v>#N/A</v>
      </c>
      <c r="AE428" s="324">
        <f t="shared" ca="1" si="179"/>
        <v>1073.3499321946092</v>
      </c>
      <c r="AG428" s="306">
        <f t="shared" ca="1" si="201"/>
        <v>-20.379693152753163</v>
      </c>
      <c r="AH428" s="304">
        <f t="shared" ca="1" si="202"/>
        <v>-10.651761060767111</v>
      </c>
    </row>
    <row r="429" spans="1:34" x14ac:dyDescent="0.2">
      <c r="A429" s="347">
        <f t="shared" ca="1" si="180"/>
        <v>0.1</v>
      </c>
      <c r="B429" s="304">
        <f t="shared" ca="1" si="181"/>
        <v>6.4999999999999503</v>
      </c>
      <c r="D429" s="306">
        <f t="shared" ca="1" si="182"/>
        <v>-1.3461834409923668</v>
      </c>
      <c r="E429" s="307">
        <f t="shared" ca="1" si="183"/>
        <v>-20.087329740081287</v>
      </c>
      <c r="F429" s="304">
        <f t="shared" ca="1" si="184"/>
        <v>20.132387487418281</v>
      </c>
      <c r="G429" s="306">
        <f t="shared" ca="1" si="185"/>
        <v>20.32922950898234</v>
      </c>
      <c r="H429" s="307">
        <f t="shared" ca="1" si="186"/>
        <v>154.22087566085736</v>
      </c>
      <c r="I429" s="304">
        <f t="shared" ca="1" si="187"/>
        <v>155.55499369043252</v>
      </c>
      <c r="J429" s="306">
        <f t="shared" ca="1" si="188"/>
        <v>123.60971148629295</v>
      </c>
      <c r="K429" s="307">
        <f t="shared" ca="1" si="189"/>
        <v>1088.8724564093955</v>
      </c>
      <c r="L429" s="304">
        <f t="shared" ca="1" si="174"/>
        <v>1095.8661355753063</v>
      </c>
      <c r="M429" s="306">
        <f t="shared" ca="1" si="190"/>
        <v>1.4397330478439814</v>
      </c>
      <c r="N429" s="304">
        <f t="shared" ca="1" si="191"/>
        <v>82.490627266966754</v>
      </c>
      <c r="P429" s="310">
        <f t="shared" ca="1" si="192"/>
        <v>23</v>
      </c>
      <c r="Q429" s="304">
        <f t="shared" ca="1" si="193"/>
        <v>0</v>
      </c>
      <c r="R429" s="306">
        <f t="shared" ca="1" si="194"/>
        <v>0</v>
      </c>
      <c r="S429" s="307">
        <f t="shared" ca="1" si="195"/>
        <v>6.1519999999999921</v>
      </c>
      <c r="T429" s="304">
        <f t="shared" ca="1" si="175"/>
        <v>60.351119999999923</v>
      </c>
      <c r="U429" s="311">
        <f t="shared" ca="1" si="176"/>
        <v>0</v>
      </c>
      <c r="V429" s="306">
        <f t="shared" ca="1" si="177"/>
        <v>1.0985002298621127</v>
      </c>
      <c r="W429" s="304">
        <f t="shared" ca="1" si="178"/>
        <v>62.053699939216934</v>
      </c>
      <c r="Y429" s="314" t="str">
        <f t="shared" ca="1" si="196"/>
        <v/>
      </c>
      <c r="Z429" s="315" t="str">
        <f t="shared" ca="1" si="197"/>
        <v/>
      </c>
      <c r="AA429" s="316" t="str">
        <f t="shared" ca="1" si="198"/>
        <v/>
      </c>
      <c r="AC429" s="310" t="e">
        <f t="shared" ca="1" si="199"/>
        <v>#N/A</v>
      </c>
      <c r="AD429" s="323" t="e">
        <f t="shared" ca="1" si="200"/>
        <v>#N/A</v>
      </c>
      <c r="AE429" s="324">
        <f t="shared" ca="1" si="179"/>
        <v>1088.8724564093955</v>
      </c>
      <c r="AG429" s="306">
        <f t="shared" ca="1" si="201"/>
        <v>-20.092031494326264</v>
      </c>
      <c r="AH429" s="304">
        <f t="shared" ca="1" si="202"/>
        <v>-10.365120184694497</v>
      </c>
    </row>
    <row r="430" spans="1:34" x14ac:dyDescent="0.2">
      <c r="A430" s="347">
        <f t="shared" ca="1" si="180"/>
        <v>0.1</v>
      </c>
      <c r="B430" s="304">
        <f t="shared" ca="1" si="181"/>
        <v>6.5999999999999499</v>
      </c>
      <c r="D430" s="306">
        <f t="shared" ca="1" si="182"/>
        <v>-1.318221273049101</v>
      </c>
      <c r="E430" s="307">
        <f t="shared" ca="1" si="183"/>
        <v>-19.810243194390466</v>
      </c>
      <c r="F430" s="304">
        <f t="shared" ca="1" si="184"/>
        <v>19.85405355955335</v>
      </c>
      <c r="G430" s="306">
        <f t="shared" ca="1" si="185"/>
        <v>20.197407381677429</v>
      </c>
      <c r="H430" s="307">
        <f t="shared" ca="1" si="186"/>
        <v>152.2398513414183</v>
      </c>
      <c r="I430" s="304">
        <f t="shared" ca="1" si="187"/>
        <v>153.57378552799491</v>
      </c>
      <c r="J430" s="306">
        <f t="shared" ca="1" si="188"/>
        <v>125.63604333082594</v>
      </c>
      <c r="K430" s="307">
        <f t="shared" ca="1" si="189"/>
        <v>1104.1954927595093</v>
      </c>
      <c r="L430" s="304">
        <f t="shared" ca="1" si="174"/>
        <v>1111.3199816498579</v>
      </c>
      <c r="M430" s="306">
        <f t="shared" ca="1" si="190"/>
        <v>1.4388982353703723</v>
      </c>
      <c r="N430" s="304">
        <f t="shared" ca="1" si="191"/>
        <v>82.442796035544077</v>
      </c>
      <c r="P430" s="310">
        <f t="shared" ca="1" si="192"/>
        <v>23</v>
      </c>
      <c r="Q430" s="304">
        <f t="shared" ca="1" si="193"/>
        <v>0</v>
      </c>
      <c r="R430" s="306">
        <f t="shared" ca="1" si="194"/>
        <v>0</v>
      </c>
      <c r="S430" s="307">
        <f t="shared" ca="1" si="195"/>
        <v>6.1519999999999921</v>
      </c>
      <c r="T430" s="304">
        <f t="shared" ca="1" si="175"/>
        <v>60.351119999999923</v>
      </c>
      <c r="U430" s="311">
        <f t="shared" ca="1" si="176"/>
        <v>0</v>
      </c>
      <c r="V430" s="306">
        <f t="shared" ca="1" si="177"/>
        <v>1.096813215614453</v>
      </c>
      <c r="W430" s="304">
        <f t="shared" ca="1" si="178"/>
        <v>60.39019999610386</v>
      </c>
      <c r="Y430" s="314" t="str">
        <f t="shared" ca="1" si="196"/>
        <v/>
      </c>
      <c r="Z430" s="315" t="str">
        <f t="shared" ca="1" si="197"/>
        <v/>
      </c>
      <c r="AA430" s="316" t="str">
        <f t="shared" ca="1" si="198"/>
        <v/>
      </c>
      <c r="AC430" s="310" t="e">
        <f t="shared" ca="1" si="199"/>
        <v>#N/A</v>
      </c>
      <c r="AD430" s="323" t="e">
        <f t="shared" ca="1" si="200"/>
        <v>#N/A</v>
      </c>
      <c r="AE430" s="324">
        <f t="shared" ca="1" si="179"/>
        <v>1104.1954927595093</v>
      </c>
      <c r="AG430" s="306">
        <f t="shared" ca="1" si="201"/>
        <v>-19.812616761312192</v>
      </c>
      <c r="AH430" s="304">
        <f t="shared" ca="1" si="202"/>
        <v>-10.086752265802506</v>
      </c>
    </row>
    <row r="431" spans="1:34" x14ac:dyDescent="0.2">
      <c r="A431" s="347">
        <f t="shared" ca="1" si="180"/>
        <v>0.1</v>
      </c>
      <c r="B431" s="304">
        <f t="shared" ca="1" si="181"/>
        <v>6.6999999999999496</v>
      </c>
      <c r="D431" s="306">
        <f t="shared" ca="1" si="182"/>
        <v>-1.2910072369840628</v>
      </c>
      <c r="E431" s="307">
        <f t="shared" ca="1" si="183"/>
        <v>-19.541088061205691</v>
      </c>
      <c r="F431" s="304">
        <f t="shared" ca="1" si="184"/>
        <v>19.583687658399295</v>
      </c>
      <c r="G431" s="306">
        <f t="shared" ca="1" si="185"/>
        <v>20.068306657979022</v>
      </c>
      <c r="H431" s="307">
        <f t="shared" ca="1" si="186"/>
        <v>150.28574253529774</v>
      </c>
      <c r="I431" s="304">
        <f t="shared" ca="1" si="187"/>
        <v>151.6197260962586</v>
      </c>
      <c r="J431" s="306">
        <f t="shared" ca="1" si="188"/>
        <v>127.64932903280877</v>
      </c>
      <c r="K431" s="307">
        <f t="shared" ca="1" si="189"/>
        <v>1119.3217724533451</v>
      </c>
      <c r="L431" s="304">
        <f t="shared" ca="1" si="174"/>
        <v>1126.5769310129799</v>
      </c>
      <c r="M431" s="306">
        <f t="shared" ca="1" si="190"/>
        <v>1.4380473091860961</v>
      </c>
      <c r="N431" s="304">
        <f t="shared" ca="1" si="191"/>
        <v>82.394041556507887</v>
      </c>
      <c r="P431" s="310">
        <f t="shared" ca="1" si="192"/>
        <v>23</v>
      </c>
      <c r="Q431" s="304">
        <f t="shared" ca="1" si="193"/>
        <v>0</v>
      </c>
      <c r="R431" s="306">
        <f t="shared" ca="1" si="194"/>
        <v>0</v>
      </c>
      <c r="S431" s="307">
        <f t="shared" ca="1" si="195"/>
        <v>6.1519999999999921</v>
      </c>
      <c r="T431" s="304">
        <f t="shared" ca="1" si="175"/>
        <v>60.351119999999923</v>
      </c>
      <c r="U431" s="311">
        <f t="shared" ca="1" si="176"/>
        <v>0</v>
      </c>
      <c r="V431" s="306">
        <f t="shared" ca="1" si="177"/>
        <v>1.0951502646695965</v>
      </c>
      <c r="W431" s="304">
        <f t="shared" ca="1" si="178"/>
        <v>58.773931436139925</v>
      </c>
      <c r="Y431" s="314" t="str">
        <f t="shared" ca="1" si="196"/>
        <v/>
      </c>
      <c r="Z431" s="315" t="str">
        <f t="shared" ca="1" si="197"/>
        <v/>
      </c>
      <c r="AA431" s="316" t="str">
        <f t="shared" ca="1" si="198"/>
        <v/>
      </c>
      <c r="AC431" s="310" t="e">
        <f t="shared" ca="1" si="199"/>
        <v>#N/A</v>
      </c>
      <c r="AD431" s="323" t="e">
        <f t="shared" ca="1" si="200"/>
        <v>#N/A</v>
      </c>
      <c r="AE431" s="324">
        <f t="shared" ca="1" si="179"/>
        <v>1119.3217724533451</v>
      </c>
      <c r="AG431" s="306">
        <f t="shared" ca="1" si="201"/>
        <v>-19.541143237877186</v>
      </c>
      <c r="AH431" s="304">
        <f t="shared" ca="1" si="202"/>
        <v>-9.8163524050884163</v>
      </c>
    </row>
    <row r="432" spans="1:34" x14ac:dyDescent="0.2">
      <c r="A432" s="347">
        <f t="shared" ca="1" si="180"/>
        <v>0.1</v>
      </c>
      <c r="B432" s="304">
        <f t="shared" ca="1" si="181"/>
        <v>6.7999999999999492</v>
      </c>
      <c r="D432" s="306">
        <f t="shared" ca="1" si="182"/>
        <v>-1.2645134008400147</v>
      </c>
      <c r="E432" s="307">
        <f t="shared" ca="1" si="183"/>
        <v>-19.279575018454192</v>
      </c>
      <c r="F432" s="304">
        <f t="shared" ca="1" si="184"/>
        <v>19.3209991209851</v>
      </c>
      <c r="G432" s="306">
        <f t="shared" ca="1" si="185"/>
        <v>19.941855317895019</v>
      </c>
      <c r="H432" s="307">
        <f t="shared" ca="1" si="186"/>
        <v>148.35778503345233</v>
      </c>
      <c r="I432" s="304">
        <f t="shared" ca="1" si="187"/>
        <v>149.69205046879378</v>
      </c>
      <c r="J432" s="306">
        <f t="shared" ca="1" si="188"/>
        <v>129.64983713160245</v>
      </c>
      <c r="K432" s="307">
        <f t="shared" ca="1" si="189"/>
        <v>1134.2539488317827</v>
      </c>
      <c r="L432" s="304">
        <f t="shared" ca="1" si="174"/>
        <v>1141.6396544920569</v>
      </c>
      <c r="M432" s="306">
        <f t="shared" ca="1" si="190"/>
        <v>1.437179897346917</v>
      </c>
      <c r="N432" s="304">
        <f t="shared" ca="1" si="191"/>
        <v>82.344342519023243</v>
      </c>
      <c r="P432" s="310">
        <f t="shared" ca="1" si="192"/>
        <v>23</v>
      </c>
      <c r="Q432" s="304">
        <f t="shared" ca="1" si="193"/>
        <v>0</v>
      </c>
      <c r="R432" s="306">
        <f t="shared" ca="1" si="194"/>
        <v>0</v>
      </c>
      <c r="S432" s="307">
        <f t="shared" ca="1" si="195"/>
        <v>6.1519999999999921</v>
      </c>
      <c r="T432" s="304">
        <f t="shared" ca="1" si="175"/>
        <v>60.351119999999923</v>
      </c>
      <c r="U432" s="311">
        <f t="shared" ca="1" si="176"/>
        <v>0</v>
      </c>
      <c r="V432" s="306">
        <f t="shared" ca="1" si="177"/>
        <v>1.0935109878320795</v>
      </c>
      <c r="W432" s="304">
        <f t="shared" ca="1" si="178"/>
        <v>57.203188901517187</v>
      </c>
      <c r="Y432" s="314" t="str">
        <f t="shared" ca="1" si="196"/>
        <v/>
      </c>
      <c r="Z432" s="315" t="str">
        <f t="shared" ca="1" si="197"/>
        <v/>
      </c>
      <c r="AA432" s="316" t="str">
        <f t="shared" ca="1" si="198"/>
        <v/>
      </c>
      <c r="AC432" s="310" t="e">
        <f t="shared" ca="1" si="199"/>
        <v>#N/A</v>
      </c>
      <c r="AD432" s="323" t="e">
        <f t="shared" ca="1" si="200"/>
        <v>#N/A</v>
      </c>
      <c r="AE432" s="324">
        <f t="shared" ca="1" si="179"/>
        <v>1134.2539488317827</v>
      </c>
      <c r="AG432" s="306">
        <f t="shared" ca="1" si="201"/>
        <v>-19.277319418575772</v>
      </c>
      <c r="AH432" s="304">
        <f t="shared" ca="1" si="202"/>
        <v>-9.5536299473569564</v>
      </c>
    </row>
    <row r="433" spans="1:34" x14ac:dyDescent="0.2">
      <c r="A433" s="347">
        <f t="shared" ca="1" si="180"/>
        <v>0.1</v>
      </c>
      <c r="B433" s="304">
        <f t="shared" ca="1" si="181"/>
        <v>6.8999999999999488</v>
      </c>
      <c r="D433" s="306">
        <f t="shared" ca="1" si="182"/>
        <v>-1.2387131183699007</v>
      </c>
      <c r="E433" s="307">
        <f t="shared" ca="1" si="183"/>
        <v>-19.025428133626509</v>
      </c>
      <c r="F433" s="304">
        <f t="shared" ca="1" si="184"/>
        <v>19.065710735700591</v>
      </c>
      <c r="G433" s="306">
        <f t="shared" ca="1" si="185"/>
        <v>19.81798400605803</v>
      </c>
      <c r="H433" s="307">
        <f t="shared" ca="1" si="186"/>
        <v>146.45524222008967</v>
      </c>
      <c r="I433" s="304">
        <f t="shared" ca="1" si="187"/>
        <v>147.79002152990407</v>
      </c>
      <c r="J433" s="306">
        <f t="shared" ca="1" si="188"/>
        <v>131.63782909780011</v>
      </c>
      <c r="K433" s="307">
        <f t="shared" ca="1" si="189"/>
        <v>1148.9946001944597</v>
      </c>
      <c r="L433" s="304">
        <f t="shared" ca="1" si="174"/>
        <v>1156.510747604884</v>
      </c>
      <c r="M433" s="306">
        <f t="shared" ca="1" si="190"/>
        <v>1.4362956153663917</v>
      </c>
      <c r="N433" s="304">
        <f t="shared" ca="1" si="191"/>
        <v>82.29367689363967</v>
      </c>
      <c r="P433" s="310">
        <f t="shared" ca="1" si="192"/>
        <v>23</v>
      </c>
      <c r="Q433" s="304">
        <f t="shared" ca="1" si="193"/>
        <v>0</v>
      </c>
      <c r="R433" s="306">
        <f t="shared" ca="1" si="194"/>
        <v>0</v>
      </c>
      <c r="S433" s="307">
        <f t="shared" ca="1" si="195"/>
        <v>6.1519999999999921</v>
      </c>
      <c r="T433" s="304">
        <f t="shared" ca="1" si="175"/>
        <v>60.351119999999923</v>
      </c>
      <c r="U433" s="311">
        <f t="shared" ca="1" si="176"/>
        <v>0</v>
      </c>
      <c r="V433" s="306">
        <f t="shared" ca="1" si="177"/>
        <v>1.091895007365951</v>
      </c>
      <c r="W433" s="304">
        <f t="shared" ca="1" si="178"/>
        <v>55.676345227647403</v>
      </c>
      <c r="Y433" s="314" t="str">
        <f t="shared" ca="1" si="196"/>
        <v/>
      </c>
      <c r="Z433" s="315" t="str">
        <f t="shared" ca="1" si="197"/>
        <v/>
      </c>
      <c r="AA433" s="316" t="str">
        <f t="shared" ca="1" si="198"/>
        <v/>
      </c>
      <c r="AC433" s="310" t="e">
        <f t="shared" ca="1" si="199"/>
        <v>#N/A</v>
      </c>
      <c r="AD433" s="323" t="e">
        <f t="shared" ca="1" si="200"/>
        <v>#N/A</v>
      </c>
      <c r="AE433" s="324">
        <f t="shared" ca="1" si="179"/>
        <v>1148.9946001944597</v>
      </c>
      <c r="AG433" s="306">
        <f t="shared" ca="1" si="201"/>
        <v>-19.020867214311007</v>
      </c>
      <c r="AH433" s="304">
        <f t="shared" ca="1" si="202"/>
        <v>-9.2983076888031952</v>
      </c>
    </row>
    <row r="434" spans="1:34" x14ac:dyDescent="0.2">
      <c r="A434" s="347">
        <f t="shared" ca="1" si="180"/>
        <v>0.1</v>
      </c>
      <c r="B434" s="304">
        <f t="shared" ca="1" si="181"/>
        <v>6.9999999999999485</v>
      </c>
      <c r="D434" s="306">
        <f t="shared" ca="1" si="182"/>
        <v>-1.2135809580793944</v>
      </c>
      <c r="E434" s="307">
        <f t="shared" ca="1" si="183"/>
        <v>-18.778384125997654</v>
      </c>
      <c r="F434" s="304">
        <f t="shared" ca="1" si="184"/>
        <v>18.81755800111517</v>
      </c>
      <c r="G434" s="306">
        <f t="shared" ca="1" si="185"/>
        <v>19.696625910250091</v>
      </c>
      <c r="H434" s="307">
        <f t="shared" ca="1" si="186"/>
        <v>144.5774038074899</v>
      </c>
      <c r="I434" s="304">
        <f t="shared" ca="1" si="187"/>
        <v>145.91292870737101</v>
      </c>
      <c r="J434" s="306">
        <f t="shared" ca="1" si="188"/>
        <v>133.61355959361552</v>
      </c>
      <c r="K434" s="307">
        <f t="shared" ca="1" si="189"/>
        <v>1163.5462324958387</v>
      </c>
      <c r="L434" s="304">
        <f t="shared" ca="1" si="174"/>
        <v>1171.1927332691819</v>
      </c>
      <c r="M434" s="306">
        <f t="shared" ca="1" si="190"/>
        <v>1.4353940657086264</v>
      </c>
      <c r="N434" s="304">
        <f t="shared" ca="1" si="191"/>
        <v>82.242021903228263</v>
      </c>
      <c r="P434" s="310">
        <f t="shared" ca="1" si="192"/>
        <v>23</v>
      </c>
      <c r="Q434" s="304">
        <f t="shared" ca="1" si="193"/>
        <v>0</v>
      </c>
      <c r="R434" s="306">
        <f t="shared" ca="1" si="194"/>
        <v>0</v>
      </c>
      <c r="S434" s="307">
        <f t="shared" ca="1" si="195"/>
        <v>6.1519999999999921</v>
      </c>
      <c r="T434" s="304">
        <f t="shared" ca="1" si="175"/>
        <v>60.351119999999923</v>
      </c>
      <c r="U434" s="311">
        <f t="shared" ca="1" si="176"/>
        <v>0</v>
      </c>
      <c r="V434" s="306">
        <f t="shared" ca="1" si="177"/>
        <v>1.090301956567294</v>
      </c>
      <c r="W434" s="304">
        <f t="shared" ca="1" si="178"/>
        <v>54.191847175499056</v>
      </c>
      <c r="Y434" s="314" t="str">
        <f t="shared" ca="1" si="196"/>
        <v/>
      </c>
      <c r="Z434" s="315" t="str">
        <f t="shared" ca="1" si="197"/>
        <v/>
      </c>
      <c r="AA434" s="316" t="str">
        <f t="shared" ca="1" si="198"/>
        <v/>
      </c>
      <c r="AC434" s="310">
        <f t="shared" ca="1" si="199"/>
        <v>6.9999999999999485</v>
      </c>
      <c r="AD434" s="323">
        <f t="shared" ca="1" si="200"/>
        <v>133.61355959361552</v>
      </c>
      <c r="AE434" s="324">
        <f t="shared" ca="1" si="179"/>
        <v>1163.5462324958387</v>
      </c>
      <c r="AG434" s="306">
        <f t="shared" ca="1" si="201"/>
        <v>-18.771521209439719</v>
      </c>
      <c r="AH434" s="304">
        <f t="shared" ca="1" si="202"/>
        <v>-9.0501211358334643</v>
      </c>
    </row>
    <row r="435" spans="1:34" x14ac:dyDescent="0.2">
      <c r="A435" s="347">
        <f t="shared" ca="1" si="180"/>
        <v>0.1</v>
      </c>
      <c r="B435" s="304">
        <f t="shared" ca="1" si="181"/>
        <v>7.0999999999999481</v>
      </c>
      <c r="D435" s="306">
        <f t="shared" ca="1" si="182"/>
        <v>-1.1890926368143058</v>
      </c>
      <c r="E435" s="307">
        <f t="shared" ca="1" si="183"/>
        <v>-18.538191676105811</v>
      </c>
      <c r="F435" s="304">
        <f t="shared" ca="1" si="184"/>
        <v>18.576288432272062</v>
      </c>
      <c r="G435" s="306">
        <f t="shared" ca="1" si="185"/>
        <v>19.577716646568661</v>
      </c>
      <c r="H435" s="307">
        <f t="shared" ca="1" si="186"/>
        <v>142.72358463987933</v>
      </c>
      <c r="I435" s="304">
        <f t="shared" ca="1" si="187"/>
        <v>144.06008677475566</v>
      </c>
      <c r="J435" s="306">
        <f t="shared" ca="1" si="188"/>
        <v>135.57727672145646</v>
      </c>
      <c r="K435" s="307">
        <f t="shared" ca="1" si="189"/>
        <v>1177.9112819182071</v>
      </c>
      <c r="L435" s="304">
        <f t="shared" ca="1" si="174"/>
        <v>1185.6880643885222</v>
      </c>
      <c r="M435" s="306">
        <f t="shared" ca="1" si="190"/>
        <v>1.4344748372557958</v>
      </c>
      <c r="N435" s="304">
        <f t="shared" ca="1" si="191"/>
        <v>82.189353992472732</v>
      </c>
      <c r="P435" s="310">
        <f t="shared" ca="1" si="192"/>
        <v>23</v>
      </c>
      <c r="Q435" s="304">
        <f t="shared" ca="1" si="193"/>
        <v>0</v>
      </c>
      <c r="R435" s="306">
        <f t="shared" ca="1" si="194"/>
        <v>0</v>
      </c>
      <c r="S435" s="307">
        <f t="shared" ca="1" si="195"/>
        <v>6.1519999999999921</v>
      </c>
      <c r="T435" s="304">
        <f t="shared" ca="1" si="175"/>
        <v>60.351119999999923</v>
      </c>
      <c r="U435" s="311">
        <f t="shared" ca="1" si="176"/>
        <v>0</v>
      </c>
      <c r="V435" s="306">
        <f t="shared" ca="1" si="177"/>
        <v>1.088731479356815</v>
      </c>
      <c r="W435" s="304">
        <f t="shared" ca="1" si="178"/>
        <v>52.748211434759682</v>
      </c>
      <c r="Y435" s="314" t="str">
        <f t="shared" ca="1" si="196"/>
        <v/>
      </c>
      <c r="Z435" s="315" t="str">
        <f t="shared" ca="1" si="197"/>
        <v/>
      </c>
      <c r="AA435" s="316" t="str">
        <f t="shared" ca="1" si="198"/>
        <v/>
      </c>
      <c r="AC435" s="310" t="e">
        <f t="shared" ca="1" si="199"/>
        <v>#N/A</v>
      </c>
      <c r="AD435" s="323" t="e">
        <f t="shared" ca="1" si="200"/>
        <v>#N/A</v>
      </c>
      <c r="AE435" s="324">
        <f t="shared" ca="1" si="179"/>
        <v>1177.9112819182071</v>
      </c>
      <c r="AG435" s="306">
        <f t="shared" ca="1" si="201"/>
        <v>-18.5290279662544</v>
      </c>
      <c r="AH435" s="304">
        <f t="shared" ca="1" si="202"/>
        <v>-8.808817811362017</v>
      </c>
    </row>
    <row r="436" spans="1:34" x14ac:dyDescent="0.2">
      <c r="A436" s="347">
        <f t="shared" ca="1" si="180"/>
        <v>0.1</v>
      </c>
      <c r="B436" s="304">
        <f t="shared" ca="1" si="181"/>
        <v>7.1999999999999478</v>
      </c>
      <c r="D436" s="306">
        <f t="shared" ca="1" si="182"/>
        <v>-1.1652249575623304</v>
      </c>
      <c r="E436" s="307">
        <f t="shared" ca="1" si="183"/>
        <v>-18.304610779050929</v>
      </c>
      <c r="F436" s="304">
        <f t="shared" ca="1" si="184"/>
        <v>18.341660911004585</v>
      </c>
      <c r="G436" s="306">
        <f t="shared" ca="1" si="185"/>
        <v>19.461194150812428</v>
      </c>
      <c r="H436" s="307">
        <f t="shared" ca="1" si="186"/>
        <v>140.89312356197425</v>
      </c>
      <c r="I436" s="304">
        <f t="shared" ca="1" si="187"/>
        <v>142.23083471886594</v>
      </c>
      <c r="J436" s="306">
        <f t="shared" ca="1" si="188"/>
        <v>137.52922226132551</v>
      </c>
      <c r="K436" s="307">
        <f t="shared" ca="1" si="189"/>
        <v>1192.0921173282998</v>
      </c>
      <c r="L436" s="304">
        <f t="shared" ca="1" si="174"/>
        <v>1199.9991263213794</v>
      </c>
      <c r="M436" s="306">
        <f t="shared" ca="1" si="190"/>
        <v>1.4335375047489791</v>
      </c>
      <c r="N436" s="304">
        <f t="shared" ca="1" si="191"/>
        <v>82.135648795831713</v>
      </c>
      <c r="P436" s="310">
        <f t="shared" ca="1" si="192"/>
        <v>23</v>
      </c>
      <c r="Q436" s="304">
        <f t="shared" ca="1" si="193"/>
        <v>0</v>
      </c>
      <c r="R436" s="306">
        <f t="shared" ca="1" si="194"/>
        <v>0</v>
      </c>
      <c r="S436" s="307">
        <f t="shared" ca="1" si="195"/>
        <v>6.1519999999999921</v>
      </c>
      <c r="T436" s="304">
        <f t="shared" ca="1" si="175"/>
        <v>60.351119999999923</v>
      </c>
      <c r="U436" s="311">
        <f t="shared" ca="1" si="176"/>
        <v>0</v>
      </c>
      <c r="V436" s="306">
        <f t="shared" ca="1" si="177"/>
        <v>1.0871832298913897</v>
      </c>
      <c r="W436" s="304">
        <f t="shared" ca="1" si="178"/>
        <v>51.344020878305223</v>
      </c>
      <c r="Y436" s="314" t="str">
        <f t="shared" ca="1" si="196"/>
        <v/>
      </c>
      <c r="Z436" s="315" t="str">
        <f t="shared" ca="1" si="197"/>
        <v/>
      </c>
      <c r="AA436" s="316" t="str">
        <f t="shared" ca="1" si="198"/>
        <v/>
      </c>
      <c r="AC436" s="310" t="e">
        <f t="shared" ca="1" si="199"/>
        <v>#N/A</v>
      </c>
      <c r="AD436" s="323" t="e">
        <f t="shared" ca="1" si="200"/>
        <v>#N/A</v>
      </c>
      <c r="AE436" s="324">
        <f t="shared" ca="1" si="179"/>
        <v>1192.0921173282998</v>
      </c>
      <c r="AG436" s="306">
        <f t="shared" ca="1" si="201"/>
        <v>-18.293145373381705</v>
      </c>
      <c r="AH436" s="304">
        <f t="shared" ca="1" si="202"/>
        <v>-8.574156605129998</v>
      </c>
    </row>
    <row r="437" spans="1:34" x14ac:dyDescent="0.2">
      <c r="A437" s="347">
        <f t="shared" ca="1" si="180"/>
        <v>0.1</v>
      </c>
      <c r="B437" s="304">
        <f t="shared" ca="1" si="181"/>
        <v>7.2999999999999474</v>
      </c>
      <c r="D437" s="306">
        <f t="shared" ca="1" si="182"/>
        <v>-1.1419557511654459</v>
      </c>
      <c r="E437" s="307">
        <f t="shared" ca="1" si="183"/>
        <v>-18.077412138455209</v>
      </c>
      <c r="F437" s="304">
        <f t="shared" ca="1" si="184"/>
        <v>18.113445077101915</v>
      </c>
      <c r="G437" s="306">
        <f t="shared" ca="1" si="185"/>
        <v>19.346998575695885</v>
      </c>
      <c r="H437" s="307">
        <f t="shared" ca="1" si="186"/>
        <v>139.08538234812872</v>
      </c>
      <c r="I437" s="304">
        <f t="shared" ca="1" si="187"/>
        <v>140.4245346683162</v>
      </c>
      <c r="J437" s="306">
        <f t="shared" ca="1" si="188"/>
        <v>139.46963189765094</v>
      </c>
      <c r="K437" s="307">
        <f t="shared" ca="1" si="189"/>
        <v>1206.0910426238049</v>
      </c>
      <c r="L437" s="304">
        <f t="shared" ca="1" si="174"/>
        <v>1214.1282392395967</v>
      </c>
      <c r="M437" s="306">
        <f t="shared" ca="1" si="190"/>
        <v>1.432581628200762</v>
      </c>
      <c r="N437" s="304">
        <f t="shared" ca="1" si="191"/>
        <v>82.080881103883328</v>
      </c>
      <c r="P437" s="310">
        <f t="shared" ca="1" si="192"/>
        <v>23</v>
      </c>
      <c r="Q437" s="304">
        <f t="shared" ca="1" si="193"/>
        <v>0</v>
      </c>
      <c r="R437" s="306">
        <f t="shared" ca="1" si="194"/>
        <v>0</v>
      </c>
      <c r="S437" s="307">
        <f t="shared" ca="1" si="195"/>
        <v>6.1519999999999921</v>
      </c>
      <c r="T437" s="304">
        <f t="shared" ca="1" si="175"/>
        <v>60.351119999999923</v>
      </c>
      <c r="U437" s="311">
        <f t="shared" ca="1" si="176"/>
        <v>0</v>
      </c>
      <c r="V437" s="306">
        <f t="shared" ca="1" si="177"/>
        <v>1.0856568721935134</v>
      </c>
      <c r="W437" s="304">
        <f t="shared" ca="1" si="178"/>
        <v>49.977921050030567</v>
      </c>
      <c r="Y437" s="314" t="str">
        <f t="shared" ca="1" si="196"/>
        <v/>
      </c>
      <c r="Z437" s="315" t="str">
        <f t="shared" ca="1" si="197"/>
        <v/>
      </c>
      <c r="AA437" s="316" t="str">
        <f t="shared" ca="1" si="198"/>
        <v/>
      </c>
      <c r="AC437" s="310" t="e">
        <f t="shared" ca="1" si="199"/>
        <v>#N/A</v>
      </c>
      <c r="AD437" s="323" t="e">
        <f t="shared" ca="1" si="200"/>
        <v>#N/A</v>
      </c>
      <c r="AE437" s="324">
        <f t="shared" ca="1" si="179"/>
        <v>1206.0910426238049</v>
      </c>
      <c r="AG437" s="306">
        <f t="shared" ca="1" si="201"/>
        <v>-18.063642034917926</v>
      </c>
      <c r="AH437" s="304">
        <f t="shared" ca="1" si="202"/>
        <v>-8.3459071648740721</v>
      </c>
    </row>
    <row r="438" spans="1:34" x14ac:dyDescent="0.2">
      <c r="A438" s="347">
        <f t="shared" ca="1" si="180"/>
        <v>0.1</v>
      </c>
      <c r="B438" s="304">
        <f t="shared" ca="1" si="181"/>
        <v>7.3999999999999471</v>
      </c>
      <c r="D438" s="306">
        <f t="shared" ca="1" si="182"/>
        <v>-1.1192638216637678</v>
      </c>
      <c r="E438" s="307">
        <f t="shared" ca="1" si="183"/>
        <v>-17.856376598181644</v>
      </c>
      <c r="F438" s="304">
        <f t="shared" ca="1" si="184"/>
        <v>17.891420757407012</v>
      </c>
      <c r="G438" s="306">
        <f t="shared" ca="1" si="185"/>
        <v>19.235072193529508</v>
      </c>
      <c r="H438" s="307">
        <f t="shared" ca="1" si="186"/>
        <v>137.29974468831054</v>
      </c>
      <c r="I438" s="304">
        <f t="shared" ca="1" si="187"/>
        <v>138.64057087939861</v>
      </c>
      <c r="J438" s="306">
        <f t="shared" ca="1" si="188"/>
        <v>141.39873543611222</v>
      </c>
      <c r="K438" s="307">
        <f t="shared" ca="1" si="189"/>
        <v>1219.9102989756268</v>
      </c>
      <c r="L438" s="304">
        <f t="shared" ca="1" si="174"/>
        <v>1228.077660382166</v>
      </c>
      <c r="M438" s="306">
        <f t="shared" ca="1" si="190"/>
        <v>1.4316067522779572</v>
      </c>
      <c r="N438" s="304">
        <f t="shared" ca="1" si="191"/>
        <v>82.025024827957694</v>
      </c>
      <c r="P438" s="310">
        <f t="shared" ca="1" si="192"/>
        <v>23</v>
      </c>
      <c r="Q438" s="304">
        <f t="shared" ca="1" si="193"/>
        <v>0</v>
      </c>
      <c r="R438" s="306">
        <f t="shared" ca="1" si="194"/>
        <v>0</v>
      </c>
      <c r="S438" s="307">
        <f t="shared" ca="1" si="195"/>
        <v>6.1519999999999921</v>
      </c>
      <c r="T438" s="304">
        <f t="shared" ca="1" si="175"/>
        <v>60.351119999999923</v>
      </c>
      <c r="U438" s="311">
        <f t="shared" ca="1" si="176"/>
        <v>0</v>
      </c>
      <c r="V438" s="306">
        <f t="shared" ca="1" si="177"/>
        <v>1.0841520797976902</v>
      </c>
      <c r="W438" s="304">
        <f t="shared" ca="1" si="178"/>
        <v>48.648616869529143</v>
      </c>
      <c r="Y438" s="314" t="str">
        <f t="shared" ca="1" si="196"/>
        <v/>
      </c>
      <c r="Z438" s="315" t="str">
        <f t="shared" ca="1" si="197"/>
        <v/>
      </c>
      <c r="AA438" s="316" t="str">
        <f t="shared" ca="1" si="198"/>
        <v/>
      </c>
      <c r="AC438" s="310" t="e">
        <f t="shared" ca="1" si="199"/>
        <v>#N/A</v>
      </c>
      <c r="AD438" s="323" t="e">
        <f t="shared" ca="1" si="200"/>
        <v>#N/A</v>
      </c>
      <c r="AE438" s="324">
        <f t="shared" ca="1" si="179"/>
        <v>1219.9102989756268</v>
      </c>
      <c r="AG438" s="306">
        <f t="shared" ca="1" si="201"/>
        <v>-17.840296697376754</v>
      </c>
      <c r="AH438" s="304">
        <f t="shared" ca="1" si="202"/>
        <v>-8.1238493254276065</v>
      </c>
    </row>
    <row r="439" spans="1:34" x14ac:dyDescent="0.2">
      <c r="A439" s="347">
        <f t="shared" ca="1" si="180"/>
        <v>0.1</v>
      </c>
      <c r="B439" s="304">
        <f t="shared" ca="1" si="181"/>
        <v>7.4999999999999467</v>
      </c>
      <c r="D439" s="306">
        <f t="shared" ca="1" si="182"/>
        <v>-1.0971288950139813</v>
      </c>
      <c r="E439" s="307">
        <f t="shared" ca="1" si="183"/>
        <v>-17.641294609139035</v>
      </c>
      <c r="F439" s="304">
        <f t="shared" ca="1" si="184"/>
        <v>17.675377430162914</v>
      </c>
      <c r="G439" s="306">
        <f t="shared" ca="1" si="185"/>
        <v>19.125359304028109</v>
      </c>
      <c r="H439" s="307">
        <f t="shared" ca="1" si="186"/>
        <v>135.53561522739665</v>
      </c>
      <c r="I439" s="304">
        <f t="shared" ca="1" si="187"/>
        <v>136.87834877575449</v>
      </c>
      <c r="J439" s="306">
        <f t="shared" ca="1" si="188"/>
        <v>143.3167570109901</v>
      </c>
      <c r="K439" s="307">
        <f t="shared" ca="1" si="189"/>
        <v>1233.5520669714122</v>
      </c>
      <c r="L439" s="304">
        <f t="shared" ca="1" si="174"/>
        <v>1241.8495862098559</v>
      </c>
      <c r="M439" s="306">
        <f t="shared" ca="1" si="190"/>
        <v>1.4306124056526839</v>
      </c>
      <c r="N439" s="304">
        <f t="shared" ca="1" si="191"/>
        <v>81.968052962956463</v>
      </c>
      <c r="P439" s="310">
        <f t="shared" ca="1" si="192"/>
        <v>23</v>
      </c>
      <c r="Q439" s="304">
        <f t="shared" ca="1" si="193"/>
        <v>0</v>
      </c>
      <c r="R439" s="306">
        <f t="shared" ca="1" si="194"/>
        <v>0</v>
      </c>
      <c r="S439" s="307">
        <f t="shared" ca="1" si="195"/>
        <v>6.1519999999999921</v>
      </c>
      <c r="T439" s="304">
        <f t="shared" ca="1" si="175"/>
        <v>60.351119999999923</v>
      </c>
      <c r="U439" s="311">
        <f t="shared" ca="1" si="176"/>
        <v>0</v>
      </c>
      <c r="V439" s="306">
        <f t="shared" ca="1" si="177"/>
        <v>1.0826685354128305</v>
      </c>
      <c r="W439" s="304">
        <f t="shared" ca="1" si="178"/>
        <v>47.354869538414235</v>
      </c>
      <c r="Y439" s="314" t="str">
        <f t="shared" ca="1" si="196"/>
        <v/>
      </c>
      <c r="Z439" s="315" t="str">
        <f t="shared" ca="1" si="197"/>
        <v/>
      </c>
      <c r="AA439" s="316" t="str">
        <f t="shared" ca="1" si="198"/>
        <v/>
      </c>
      <c r="AC439" s="310" t="e">
        <f t="shared" ca="1" si="199"/>
        <v>#N/A</v>
      </c>
      <c r="AD439" s="323" t="e">
        <f t="shared" ca="1" si="200"/>
        <v>#N/A</v>
      </c>
      <c r="AE439" s="324">
        <f t="shared" ca="1" si="179"/>
        <v>1233.5520669714122</v>
      </c>
      <c r="AG439" s="306">
        <f t="shared" ca="1" si="201"/>
        <v>-17.622897711757158</v>
      </c>
      <c r="AH439" s="304">
        <f t="shared" ca="1" si="202"/>
        <v>-7.9077725730704165</v>
      </c>
    </row>
    <row r="440" spans="1:34" x14ac:dyDescent="0.2">
      <c r="A440" s="347">
        <f t="shared" ca="1" si="180"/>
        <v>0.1</v>
      </c>
      <c r="B440" s="304">
        <f t="shared" ca="1" si="181"/>
        <v>7.5999999999999464</v>
      </c>
      <c r="D440" s="306">
        <f t="shared" ca="1" si="182"/>
        <v>-1.0755315709457536</v>
      </c>
      <c r="E440" s="307">
        <f t="shared" ca="1" si="183"/>
        <v>-17.431965728712818</v>
      </c>
      <c r="F440" s="304">
        <f t="shared" ca="1" si="184"/>
        <v>17.465113722135314</v>
      </c>
      <c r="G440" s="306">
        <f t="shared" ca="1" si="185"/>
        <v>19.017806146933534</v>
      </c>
      <c r="H440" s="307">
        <f t="shared" ca="1" si="186"/>
        <v>133.79241865452536</v>
      </c>
      <c r="I440" s="304">
        <f t="shared" ca="1" si="187"/>
        <v>135.13729403858184</v>
      </c>
      <c r="J440" s="306">
        <f t="shared" ca="1" si="188"/>
        <v>145.22391528353819</v>
      </c>
      <c r="K440" s="307">
        <f t="shared" ca="1" si="189"/>
        <v>1247.0184686655082</v>
      </c>
      <c r="L440" s="304">
        <f t="shared" ca="1" si="174"/>
        <v>1255.4461544658732</v>
      </c>
      <c r="M440" s="306">
        <f t="shared" ca="1" si="190"/>
        <v>1.4295981003199201</v>
      </c>
      <c r="N440" s="304">
        <f t="shared" ca="1" si="191"/>
        <v>81.909937548251477</v>
      </c>
      <c r="P440" s="310">
        <f t="shared" ca="1" si="192"/>
        <v>23</v>
      </c>
      <c r="Q440" s="304">
        <f t="shared" ca="1" si="193"/>
        <v>0</v>
      </c>
      <c r="R440" s="306">
        <f t="shared" ca="1" si="194"/>
        <v>0</v>
      </c>
      <c r="S440" s="307">
        <f t="shared" ca="1" si="195"/>
        <v>6.1519999999999921</v>
      </c>
      <c r="T440" s="304">
        <f t="shared" ca="1" si="175"/>
        <v>60.351119999999923</v>
      </c>
      <c r="U440" s="311">
        <f t="shared" ca="1" si="176"/>
        <v>0</v>
      </c>
      <c r="V440" s="306">
        <f t="shared" ca="1" si="177"/>
        <v>1.0812059305998059</v>
      </c>
      <c r="W440" s="304">
        <f t="shared" ca="1" si="178"/>
        <v>46.095493634268557</v>
      </c>
      <c r="Y440" s="314" t="str">
        <f t="shared" ca="1" si="196"/>
        <v/>
      </c>
      <c r="Z440" s="315" t="str">
        <f t="shared" ca="1" si="197"/>
        <v/>
      </c>
      <c r="AA440" s="316" t="str">
        <f t="shared" ca="1" si="198"/>
        <v/>
      </c>
      <c r="AC440" s="310" t="e">
        <f t="shared" ca="1" si="199"/>
        <v>#N/A</v>
      </c>
      <c r="AD440" s="323" t="e">
        <f t="shared" ca="1" si="200"/>
        <v>#N/A</v>
      </c>
      <c r="AE440" s="324">
        <f t="shared" ca="1" si="179"/>
        <v>1247.0184686655082</v>
      </c>
      <c r="AG440" s="306">
        <f t="shared" ca="1" si="201"/>
        <v>-17.4112425282507</v>
      </c>
      <c r="AH440" s="304">
        <f t="shared" ca="1" si="202"/>
        <v>-7.6974755426551198</v>
      </c>
    </row>
    <row r="441" spans="1:34" x14ac:dyDescent="0.2">
      <c r="A441" s="347">
        <f t="shared" ca="1" si="180"/>
        <v>0.1</v>
      </c>
      <c r="B441" s="304">
        <f t="shared" ca="1" si="181"/>
        <v>7.699999999999946</v>
      </c>
      <c r="D441" s="306">
        <f t="shared" ca="1" si="182"/>
        <v>-1.054453277738167</v>
      </c>
      <c r="E441" s="307">
        <f t="shared" ca="1" si="183"/>
        <v>-17.228198150554238</v>
      </c>
      <c r="F441" s="304">
        <f t="shared" ca="1" si="184"/>
        <v>17.260436936233486</v>
      </c>
      <c r="G441" s="306">
        <f t="shared" ca="1" si="185"/>
        <v>18.912360819159716</v>
      </c>
      <c r="H441" s="307">
        <f t="shared" ca="1" si="186"/>
        <v>132.06959883946993</v>
      </c>
      <c r="I441" s="304">
        <f t="shared" ca="1" si="187"/>
        <v>133.41685174434528</v>
      </c>
      <c r="J441" s="306">
        <f t="shared" ca="1" si="188"/>
        <v>147.12042363184284</v>
      </c>
      <c r="K441" s="307">
        <f t="shared" ca="1" si="189"/>
        <v>1260.311569540208</v>
      </c>
      <c r="L441" s="304">
        <f t="shared" ca="1" si="174"/>
        <v>1268.8694461474417</v>
      </c>
      <c r="M441" s="306">
        <f t="shared" ca="1" si="190"/>
        <v>1.4285633308795247</v>
      </c>
      <c r="N441" s="304">
        <f t="shared" ca="1" si="191"/>
        <v>81.850649626547721</v>
      </c>
      <c r="P441" s="310">
        <f t="shared" ca="1" si="192"/>
        <v>23</v>
      </c>
      <c r="Q441" s="304">
        <f t="shared" ca="1" si="193"/>
        <v>0</v>
      </c>
      <c r="R441" s="306">
        <f t="shared" ca="1" si="194"/>
        <v>0</v>
      </c>
      <c r="S441" s="307">
        <f t="shared" ca="1" si="195"/>
        <v>6.1519999999999921</v>
      </c>
      <c r="T441" s="304">
        <f t="shared" ca="1" si="175"/>
        <v>60.351119999999923</v>
      </c>
      <c r="U441" s="311">
        <f t="shared" ca="1" si="176"/>
        <v>0</v>
      </c>
      <c r="V441" s="306">
        <f t="shared" ca="1" si="177"/>
        <v>1.079763965463358</v>
      </c>
      <c r="W441" s="304">
        <f t="shared" ca="1" si="178"/>
        <v>44.869354379297548</v>
      </c>
      <c r="Y441" s="314" t="str">
        <f t="shared" ca="1" si="196"/>
        <v/>
      </c>
      <c r="Z441" s="315" t="str">
        <f t="shared" ca="1" si="197"/>
        <v/>
      </c>
      <c r="AA441" s="316" t="str">
        <f t="shared" ca="1" si="198"/>
        <v/>
      </c>
      <c r="AC441" s="310" t="e">
        <f t="shared" ca="1" si="199"/>
        <v>#N/A</v>
      </c>
      <c r="AD441" s="323" t="e">
        <f t="shared" ca="1" si="200"/>
        <v>#N/A</v>
      </c>
      <c r="AE441" s="324">
        <f t="shared" ca="1" si="179"/>
        <v>1260.311569540208</v>
      </c>
      <c r="AG441" s="306">
        <f t="shared" ca="1" si="201"/>
        <v>-17.205137221300948</v>
      </c>
      <c r="AH441" s="304">
        <f t="shared" ca="1" si="202"/>
        <v>-7.4927655452322197</v>
      </c>
    </row>
    <row r="442" spans="1:34" x14ac:dyDescent="0.2">
      <c r="A442" s="347">
        <f t="shared" ca="1" si="180"/>
        <v>0.1</v>
      </c>
      <c r="B442" s="304">
        <f t="shared" ca="1" si="181"/>
        <v>7.7999999999999456</v>
      </c>
      <c r="D442" s="306">
        <f t="shared" ca="1" si="182"/>
        <v>-1.0338762297150972</v>
      </c>
      <c r="E442" s="307">
        <f t="shared" ca="1" si="183"/>
        <v>-17.029808262636742</v>
      </c>
      <c r="F442" s="304">
        <f t="shared" ca="1" si="184"/>
        <v>17.061162607528846</v>
      </c>
      <c r="G442" s="306">
        <f t="shared" ca="1" si="185"/>
        <v>18.808973196188205</v>
      </c>
      <c r="H442" s="307">
        <f t="shared" ca="1" si="186"/>
        <v>130.36661801320625</v>
      </c>
      <c r="I442" s="304">
        <f t="shared" ca="1" si="187"/>
        <v>131.71648554716359</v>
      </c>
      <c r="J442" s="306">
        <f t="shared" ca="1" si="188"/>
        <v>149.00649033261024</v>
      </c>
      <c r="K442" s="307">
        <f t="shared" ca="1" si="189"/>
        <v>1273.4333803828417</v>
      </c>
      <c r="L442" s="304">
        <f t="shared" ca="1" si="174"/>
        <v>1282.1214873928732</v>
      </c>
      <c r="M442" s="306">
        <f t="shared" ca="1" si="190"/>
        <v>1.4275075737805778</v>
      </c>
      <c r="N442" s="304">
        <f t="shared" ca="1" si="191"/>
        <v>81.790159200587084</v>
      </c>
      <c r="P442" s="310">
        <f t="shared" ca="1" si="192"/>
        <v>23</v>
      </c>
      <c r="Q442" s="304">
        <f t="shared" ca="1" si="193"/>
        <v>0</v>
      </c>
      <c r="R442" s="306">
        <f t="shared" ca="1" si="194"/>
        <v>0</v>
      </c>
      <c r="S442" s="307">
        <f t="shared" ca="1" si="195"/>
        <v>6.1519999999999921</v>
      </c>
      <c r="T442" s="304">
        <f t="shared" ca="1" si="175"/>
        <v>60.351119999999923</v>
      </c>
      <c r="U442" s="311">
        <f t="shared" ca="1" si="176"/>
        <v>0</v>
      </c>
      <c r="V442" s="306">
        <f t="shared" ca="1" si="177"/>
        <v>1.0783423483576013</v>
      </c>
      <c r="W442" s="304">
        <f t="shared" ca="1" si="178"/>
        <v>43.675365071756879</v>
      </c>
      <c r="Y442" s="314" t="str">
        <f t="shared" ca="1" si="196"/>
        <v/>
      </c>
      <c r="Z442" s="315" t="str">
        <f t="shared" ca="1" si="197"/>
        <v/>
      </c>
      <c r="AA442" s="316" t="str">
        <f t="shared" ca="1" si="198"/>
        <v/>
      </c>
      <c r="AC442" s="310" t="e">
        <f t="shared" ca="1" si="199"/>
        <v>#N/A</v>
      </c>
      <c r="AD442" s="323" t="e">
        <f t="shared" ca="1" si="200"/>
        <v>#N/A</v>
      </c>
      <c r="AE442" s="324">
        <f t="shared" ca="1" si="179"/>
        <v>1273.4333803828417</v>
      </c>
      <c r="AG442" s="306">
        <f t="shared" ca="1" si="201"/>
        <v>-17.004396042903959</v>
      </c>
      <c r="AH442" s="304">
        <f t="shared" ca="1" si="202"/>
        <v>-7.2934581240730827</v>
      </c>
    </row>
    <row r="443" spans="1:34" x14ac:dyDescent="0.2">
      <c r="A443" s="347">
        <f t="shared" ca="1" si="180"/>
        <v>0.1</v>
      </c>
      <c r="B443" s="304">
        <f t="shared" ca="1" si="181"/>
        <v>7.8999999999999453</v>
      </c>
      <c r="D443" s="306">
        <f t="shared" ca="1" si="182"/>
        <v>-1.0137833872739985</v>
      </c>
      <c r="E443" s="307">
        <f t="shared" ca="1" si="183"/>
        <v>-16.836620231649203</v>
      </c>
      <c r="F443" s="304">
        <f t="shared" ca="1" si="184"/>
        <v>16.867114085731796</v>
      </c>
      <c r="G443" s="306">
        <f t="shared" ca="1" si="185"/>
        <v>18.707594857460805</v>
      </c>
      <c r="H443" s="307">
        <f t="shared" ca="1" si="186"/>
        <v>128.68295599004134</v>
      </c>
      <c r="I443" s="304">
        <f t="shared" ca="1" si="187"/>
        <v>130.03567690324763</v>
      </c>
      <c r="J443" s="306">
        <f t="shared" ca="1" si="188"/>
        <v>150.8823187352927</v>
      </c>
      <c r="K443" s="307">
        <f t="shared" ca="1" si="189"/>
        <v>1286.3858590830041</v>
      </c>
      <c r="L443" s="304">
        <f t="shared" ca="1" si="174"/>
        <v>1295.2042512884432</v>
      </c>
      <c r="M443" s="306">
        <f t="shared" ca="1" si="190"/>
        <v>1.4264302865257452</v>
      </c>
      <c r="N443" s="304">
        <f t="shared" ca="1" si="191"/>
        <v>81.728435187561942</v>
      </c>
      <c r="P443" s="310">
        <f t="shared" ca="1" si="192"/>
        <v>23</v>
      </c>
      <c r="Q443" s="304">
        <f t="shared" ca="1" si="193"/>
        <v>0</v>
      </c>
      <c r="R443" s="306">
        <f t="shared" ca="1" si="194"/>
        <v>0</v>
      </c>
      <c r="S443" s="307">
        <f t="shared" ca="1" si="195"/>
        <v>6.1519999999999921</v>
      </c>
      <c r="T443" s="304">
        <f t="shared" ca="1" si="175"/>
        <v>60.351119999999923</v>
      </c>
      <c r="U443" s="311">
        <f t="shared" ca="1" si="176"/>
        <v>0</v>
      </c>
      <c r="V443" s="306">
        <f t="shared" ca="1" si="177"/>
        <v>1.0769407956044101</v>
      </c>
      <c r="W443" s="304">
        <f t="shared" ca="1" si="178"/>
        <v>42.512484669136875</v>
      </c>
      <c r="Y443" s="314" t="str">
        <f t="shared" ca="1" si="196"/>
        <v/>
      </c>
      <c r="Z443" s="315" t="str">
        <f t="shared" ca="1" si="197"/>
        <v/>
      </c>
      <c r="AA443" s="316" t="str">
        <f t="shared" ca="1" si="198"/>
        <v/>
      </c>
      <c r="AC443" s="310" t="e">
        <f t="shared" ca="1" si="199"/>
        <v>#N/A</v>
      </c>
      <c r="AD443" s="323" t="e">
        <f t="shared" ca="1" si="200"/>
        <v>#N/A</v>
      </c>
      <c r="AE443" s="324">
        <f t="shared" ca="1" si="179"/>
        <v>1286.3858590830041</v>
      </c>
      <c r="AG443" s="306">
        <f t="shared" ca="1" si="201"/>
        <v>-16.80884100219971</v>
      </c>
      <c r="AH443" s="304">
        <f t="shared" ca="1" si="202"/>
        <v>-7.0993766371516474</v>
      </c>
    </row>
    <row r="444" spans="1:34" x14ac:dyDescent="0.2">
      <c r="A444" s="347">
        <f t="shared" ca="1" si="180"/>
        <v>0.1</v>
      </c>
      <c r="B444" s="304">
        <f t="shared" ca="1" si="181"/>
        <v>7.9999999999999449</v>
      </c>
      <c r="D444" s="306">
        <f t="shared" ca="1" si="182"/>
        <v>-0.99415841927672721</v>
      </c>
      <c r="E444" s="307">
        <f t="shared" ca="1" si="183"/>
        <v>-16.648465611943465</v>
      </c>
      <c r="F444" s="304">
        <f t="shared" ca="1" si="184"/>
        <v>16.678122142336136</v>
      </c>
      <c r="G444" s="306">
        <f t="shared" ca="1" si="185"/>
        <v>18.608179015533132</v>
      </c>
      <c r="H444" s="307">
        <f t="shared" ca="1" si="186"/>
        <v>127.01810942884698</v>
      </c>
      <c r="I444" s="304">
        <f t="shared" ca="1" si="187"/>
        <v>128.37392433493912</v>
      </c>
      <c r="J444" s="306">
        <f t="shared" ca="1" si="188"/>
        <v>152.7481074289424</v>
      </c>
      <c r="K444" s="307">
        <f t="shared" ca="1" si="189"/>
        <v>1299.1709123539486</v>
      </c>
      <c r="L444" s="304">
        <f t="shared" ca="1" si="174"/>
        <v>1308.1196595991189</v>
      </c>
      <c r="M444" s="306">
        <f t="shared" ca="1" si="190"/>
        <v>1.4253309068332045</v>
      </c>
      <c r="N444" s="304">
        <f t="shared" ca="1" si="191"/>
        <v>81.665445371096965</v>
      </c>
      <c r="P444" s="310">
        <f t="shared" ca="1" si="192"/>
        <v>23</v>
      </c>
      <c r="Q444" s="304">
        <f t="shared" ca="1" si="193"/>
        <v>0</v>
      </c>
      <c r="R444" s="306">
        <f t="shared" ca="1" si="194"/>
        <v>0</v>
      </c>
      <c r="S444" s="307">
        <f t="shared" ca="1" si="195"/>
        <v>6.1519999999999921</v>
      </c>
      <c r="T444" s="304">
        <f t="shared" ca="1" si="175"/>
        <v>60.351119999999923</v>
      </c>
      <c r="U444" s="311">
        <f t="shared" ca="1" si="176"/>
        <v>0</v>
      </c>
      <c r="V444" s="306">
        <f t="shared" ca="1" si="177"/>
        <v>1.0755590312240284</v>
      </c>
      <c r="W444" s="304">
        <f t="shared" ca="1" si="178"/>
        <v>41.379715512919532</v>
      </c>
      <c r="Y444" s="314" t="str">
        <f t="shared" ca="1" si="196"/>
        <v/>
      </c>
      <c r="Z444" s="315" t="str">
        <f t="shared" ca="1" si="197"/>
        <v/>
      </c>
      <c r="AA444" s="316" t="str">
        <f t="shared" ca="1" si="198"/>
        <v/>
      </c>
      <c r="AC444" s="310">
        <f t="shared" ca="1" si="199"/>
        <v>7.9999999999999449</v>
      </c>
      <c r="AD444" s="323">
        <f t="shared" ca="1" si="200"/>
        <v>152.7481074289424</v>
      </c>
      <c r="AE444" s="324">
        <f t="shared" ca="1" si="179"/>
        <v>1299.1709123539486</v>
      </c>
      <c r="AG444" s="306">
        <f t="shared" ca="1" si="201"/>
        <v>-16.618301469551774</v>
      </c>
      <c r="AH444" s="304">
        <f t="shared" ca="1" si="202"/>
        <v>-6.9103518642940394</v>
      </c>
    </row>
    <row r="445" spans="1:34" x14ac:dyDescent="0.2">
      <c r="A445" s="347">
        <f t="shared" ca="1" si="180"/>
        <v>0.1</v>
      </c>
      <c r="B445" s="304">
        <f t="shared" ca="1" si="181"/>
        <v>8.0999999999999446</v>
      </c>
      <c r="D445" s="306">
        <f t="shared" ca="1" si="182"/>
        <v>-0.97498566764404659</v>
      </c>
      <c r="E445" s="307">
        <f t="shared" ca="1" si="183"/>
        <v>-16.465182977388228</v>
      </c>
      <c r="F445" s="304">
        <f t="shared" ca="1" si="184"/>
        <v>16.494024600775472</v>
      </c>
      <c r="G445" s="306">
        <f t="shared" ca="1" si="185"/>
        <v>18.510680448768728</v>
      </c>
      <c r="H445" s="307">
        <f t="shared" ca="1" si="186"/>
        <v>125.37159113110816</v>
      </c>
      <c r="I445" s="304">
        <f t="shared" ca="1" si="187"/>
        <v>126.7307427320703</v>
      </c>
      <c r="J445" s="306">
        <f t="shared" ca="1" si="188"/>
        <v>154.6040504021575</v>
      </c>
      <c r="K445" s="307">
        <f t="shared" ca="1" si="189"/>
        <v>1311.7903973819464</v>
      </c>
      <c r="L445" s="304">
        <f t="shared" ca="1" si="174"/>
        <v>1320.8695844269553</v>
      </c>
      <c r="M445" s="306">
        <f t="shared" ca="1" si="190"/>
        <v>1.4242088517535081</v>
      </c>
      <c r="N445" s="304">
        <f t="shared" ca="1" si="191"/>
        <v>81.601156350649148</v>
      </c>
      <c r="P445" s="310">
        <f t="shared" ca="1" si="192"/>
        <v>23</v>
      </c>
      <c r="Q445" s="304">
        <f t="shared" ca="1" si="193"/>
        <v>0</v>
      </c>
      <c r="R445" s="306">
        <f t="shared" ca="1" si="194"/>
        <v>0</v>
      </c>
      <c r="S445" s="307">
        <f t="shared" ca="1" si="195"/>
        <v>6.1519999999999921</v>
      </c>
      <c r="T445" s="304">
        <f t="shared" ca="1" si="175"/>
        <v>60.351119999999923</v>
      </c>
      <c r="U445" s="311">
        <f t="shared" ca="1" si="176"/>
        <v>0</v>
      </c>
      <c r="V445" s="306">
        <f t="shared" ca="1" si="177"/>
        <v>1.0741967866772668</v>
      </c>
      <c r="W445" s="304">
        <f t="shared" ca="1" si="178"/>
        <v>40.276101185489949</v>
      </c>
      <c r="Y445" s="314" t="str">
        <f t="shared" ca="1" si="196"/>
        <v/>
      </c>
      <c r="Z445" s="315" t="str">
        <f t="shared" ca="1" si="197"/>
        <v/>
      </c>
      <c r="AA445" s="316" t="str">
        <f t="shared" ca="1" si="198"/>
        <v/>
      </c>
      <c r="AC445" s="310" t="e">
        <f t="shared" ca="1" si="199"/>
        <v>#N/A</v>
      </c>
      <c r="AD445" s="323" t="e">
        <f t="shared" ca="1" si="200"/>
        <v>#N/A</v>
      </c>
      <c r="AE445" s="324">
        <f t="shared" ca="1" si="179"/>
        <v>1311.7903973819464</v>
      </c>
      <c r="AG445" s="306">
        <f t="shared" ca="1" si="201"/>
        <v>-16.432613803447033</v>
      </c>
      <c r="AH445" s="304">
        <f t="shared" ca="1" si="202"/>
        <v>-6.7262216373406343</v>
      </c>
    </row>
    <row r="446" spans="1:34" x14ac:dyDescent="0.2">
      <c r="A446" s="347">
        <f t="shared" ca="1" si="180"/>
        <v>0.1</v>
      </c>
      <c r="B446" s="304">
        <f t="shared" ca="1" si="181"/>
        <v>8.1999999999999442</v>
      </c>
      <c r="D446" s="306">
        <f t="shared" ca="1" si="182"/>
        <v>-0.95625011400731452</v>
      </c>
      <c r="E446" s="307">
        <f t="shared" ca="1" si="183"/>
        <v>-16.286617574605426</v>
      </c>
      <c r="F446" s="304">
        <f t="shared" ca="1" si="184"/>
        <v>16.314665988060725</v>
      </c>
      <c r="G446" s="306">
        <f t="shared" ca="1" si="185"/>
        <v>18.415055437367997</v>
      </c>
      <c r="H446" s="307">
        <f t="shared" ca="1" si="186"/>
        <v>123.74292937364761</v>
      </c>
      <c r="I446" s="304">
        <f t="shared" ca="1" si="187"/>
        <v>125.10566268851653</v>
      </c>
      <c r="J446" s="306">
        <f t="shared" ca="1" si="188"/>
        <v>156.45033719646435</v>
      </c>
      <c r="K446" s="307">
        <f t="shared" ca="1" si="189"/>
        <v>1324.2461234071841</v>
      </c>
      <c r="L446" s="304">
        <f t="shared" ca="1" si="174"/>
        <v>1333.4558498007507</v>
      </c>
      <c r="M446" s="306">
        <f t="shared" ca="1" si="190"/>
        <v>1.4230635167385586</v>
      </c>
      <c r="N446" s="304">
        <f t="shared" ca="1" si="191"/>
        <v>81.535533488163992</v>
      </c>
      <c r="P446" s="310">
        <f t="shared" ca="1" si="192"/>
        <v>23</v>
      </c>
      <c r="Q446" s="304">
        <f t="shared" ca="1" si="193"/>
        <v>0</v>
      </c>
      <c r="R446" s="306">
        <f t="shared" ca="1" si="194"/>
        <v>0</v>
      </c>
      <c r="S446" s="307">
        <f t="shared" ca="1" si="195"/>
        <v>6.1519999999999921</v>
      </c>
      <c r="T446" s="304">
        <f t="shared" ca="1" si="175"/>
        <v>60.351119999999923</v>
      </c>
      <c r="U446" s="311">
        <f t="shared" ca="1" si="176"/>
        <v>0</v>
      </c>
      <c r="V446" s="306">
        <f t="shared" ca="1" si="177"/>
        <v>1.0728538006187103</v>
      </c>
      <c r="W446" s="304">
        <f t="shared" ca="1" si="178"/>
        <v>39.200724490483651</v>
      </c>
      <c r="Y446" s="314" t="str">
        <f t="shared" ca="1" si="196"/>
        <v/>
      </c>
      <c r="Z446" s="315" t="str">
        <f t="shared" ca="1" si="197"/>
        <v/>
      </c>
      <c r="AA446" s="316" t="str">
        <f t="shared" ca="1" si="198"/>
        <v/>
      </c>
      <c r="AC446" s="310" t="e">
        <f t="shared" ca="1" si="199"/>
        <v>#N/A</v>
      </c>
      <c r="AD446" s="323" t="e">
        <f t="shared" ca="1" si="200"/>
        <v>#N/A</v>
      </c>
      <c r="AE446" s="324">
        <f t="shared" ca="1" si="179"/>
        <v>1324.2461234071841</v>
      </c>
      <c r="AG446" s="306">
        <f t="shared" ca="1" si="201"/>
        <v>-16.251620998670639</v>
      </c>
      <c r="AH446" s="304">
        <f t="shared" ca="1" si="202"/>
        <v>-6.5468304917896623</v>
      </c>
    </row>
    <row r="447" spans="1:34" x14ac:dyDescent="0.2">
      <c r="A447" s="347">
        <f t="shared" ca="1" si="180"/>
        <v>0.1</v>
      </c>
      <c r="B447" s="304">
        <f t="shared" ca="1" si="181"/>
        <v>8.2999999999999439</v>
      </c>
      <c r="D447" s="306">
        <f t="shared" ca="1" si="182"/>
        <v>-0.93793734828182562</v>
      </c>
      <c r="E447" s="307">
        <f t="shared" ca="1" si="183"/>
        <v>-16.112620996178375</v>
      </c>
      <c r="F447" s="304">
        <f t="shared" ca="1" si="184"/>
        <v>16.139897206481525</v>
      </c>
      <c r="G447" s="306">
        <f t="shared" ca="1" si="185"/>
        <v>18.321261702539815</v>
      </c>
      <c r="H447" s="307">
        <f t="shared" ca="1" si="186"/>
        <v>122.13166727402978</v>
      </c>
      <c r="I447" s="304">
        <f t="shared" ca="1" si="187"/>
        <v>123.49822987195917</v>
      </c>
      <c r="J447" s="306">
        <f t="shared" ca="1" si="188"/>
        <v>158.28715305345975</v>
      </c>
      <c r="K447" s="307">
        <f t="shared" ca="1" si="189"/>
        <v>1336.5398532395679</v>
      </c>
      <c r="L447" s="304">
        <f t="shared" ca="1" si="174"/>
        <v>1345.8802332003452</v>
      </c>
      <c r="M447" s="306">
        <f t="shared" ca="1" si="190"/>
        <v>1.4218942746596794</v>
      </c>
      <c r="N447" s="304">
        <f t="shared" ca="1" si="191"/>
        <v>81.468540851815106</v>
      </c>
      <c r="P447" s="310">
        <f t="shared" ca="1" si="192"/>
        <v>23</v>
      </c>
      <c r="Q447" s="304">
        <f t="shared" ca="1" si="193"/>
        <v>0</v>
      </c>
      <c r="R447" s="306">
        <f t="shared" ca="1" si="194"/>
        <v>0</v>
      </c>
      <c r="S447" s="307">
        <f t="shared" ca="1" si="195"/>
        <v>6.1519999999999921</v>
      </c>
      <c r="T447" s="304">
        <f t="shared" ca="1" si="175"/>
        <v>60.351119999999923</v>
      </c>
      <c r="U447" s="311">
        <f t="shared" ca="1" si="176"/>
        <v>0</v>
      </c>
      <c r="V447" s="306">
        <f t="shared" ca="1" si="177"/>
        <v>1.0715298186603692</v>
      </c>
      <c r="W447" s="304">
        <f t="shared" ca="1" si="178"/>
        <v>38.152705548495597</v>
      </c>
      <c r="Y447" s="314" t="str">
        <f t="shared" ca="1" si="196"/>
        <v/>
      </c>
      <c r="Z447" s="315" t="str">
        <f t="shared" ca="1" si="197"/>
        <v/>
      </c>
      <c r="AA447" s="316" t="str">
        <f t="shared" ca="1" si="198"/>
        <v/>
      </c>
      <c r="AC447" s="310" t="e">
        <f t="shared" ca="1" si="199"/>
        <v>#N/A</v>
      </c>
      <c r="AD447" s="323" t="e">
        <f t="shared" ca="1" si="200"/>
        <v>#N/A</v>
      </c>
      <c r="AE447" s="324">
        <f t="shared" ca="1" si="179"/>
        <v>1336.5398532395679</v>
      </c>
      <c r="AG447" s="306">
        <f t="shared" ca="1" si="201"/>
        <v>-16.075172354324124</v>
      </c>
      <c r="AH447" s="304">
        <f t="shared" ca="1" si="202"/>
        <v>-6.3720293385051532</v>
      </c>
    </row>
    <row r="448" spans="1:34" x14ac:dyDescent="0.2">
      <c r="A448" s="347">
        <f t="shared" ca="1" si="180"/>
        <v>0.1</v>
      </c>
      <c r="B448" s="304">
        <f t="shared" ca="1" si="181"/>
        <v>8.3999999999999435</v>
      </c>
      <c r="D448" s="306">
        <f t="shared" ca="1" si="182"/>
        <v>-0.92003353903625829</v>
      </c>
      <c r="E448" s="307">
        <f t="shared" ca="1" si="183"/>
        <v>-15.943050872525207</v>
      </c>
      <c r="F448" s="304">
        <f t="shared" ca="1" si="184"/>
        <v>15.969575224058978</v>
      </c>
      <c r="G448" s="306">
        <f t="shared" ca="1" si="185"/>
        <v>18.22925834863619</v>
      </c>
      <c r="H448" s="307">
        <f t="shared" ca="1" si="186"/>
        <v>120.53736218677726</v>
      </c>
      <c r="I448" s="304">
        <f t="shared" ca="1" si="187"/>
        <v>121.90800442500748</v>
      </c>
      <c r="J448" s="306">
        <f t="shared" ca="1" si="188"/>
        <v>160.11467905601856</v>
      </c>
      <c r="K448" s="307">
        <f t="shared" ca="1" si="189"/>
        <v>1348.6733047126083</v>
      </c>
      <c r="L448" s="304">
        <f t="shared" ca="1" si="174"/>
        <v>1358.1444670187484</v>
      </c>
      <c r="M448" s="306">
        <f t="shared" ca="1" si="190"/>
        <v>1.4207004747715386</v>
      </c>
      <c r="N448" s="304">
        <f t="shared" ca="1" si="191"/>
        <v>81.400141156641453</v>
      </c>
      <c r="P448" s="310">
        <f t="shared" ca="1" si="192"/>
        <v>23</v>
      </c>
      <c r="Q448" s="304">
        <f t="shared" ca="1" si="193"/>
        <v>0</v>
      </c>
      <c r="R448" s="306">
        <f t="shared" ca="1" si="194"/>
        <v>0</v>
      </c>
      <c r="S448" s="307">
        <f t="shared" ca="1" si="195"/>
        <v>6.1519999999999921</v>
      </c>
      <c r="T448" s="304">
        <f t="shared" ca="1" si="175"/>
        <v>60.351119999999923</v>
      </c>
      <c r="U448" s="311">
        <f t="shared" ca="1" si="176"/>
        <v>0</v>
      </c>
      <c r="V448" s="306">
        <f t="shared" ca="1" si="177"/>
        <v>1.0702245931452568</v>
      </c>
      <c r="W448" s="304">
        <f t="shared" ca="1" si="178"/>
        <v>37.131200000667569</v>
      </c>
      <c r="Y448" s="314" t="str">
        <f t="shared" ca="1" si="196"/>
        <v/>
      </c>
      <c r="Z448" s="315" t="str">
        <f t="shared" ca="1" si="197"/>
        <v/>
      </c>
      <c r="AA448" s="316" t="str">
        <f t="shared" ca="1" si="198"/>
        <v/>
      </c>
      <c r="AC448" s="310" t="e">
        <f t="shared" ca="1" si="199"/>
        <v>#N/A</v>
      </c>
      <c r="AD448" s="323" t="e">
        <f t="shared" ca="1" si="200"/>
        <v>#N/A</v>
      </c>
      <c r="AE448" s="324">
        <f t="shared" ca="1" si="179"/>
        <v>1348.6733047126083</v>
      </c>
      <c r="AG448" s="306">
        <f t="shared" ca="1" si="201"/>
        <v>-15.903123160358048</v>
      </c>
      <c r="AH448" s="304">
        <f t="shared" ca="1" si="202"/>
        <v>-6.2016751541767956</v>
      </c>
    </row>
    <row r="449" spans="1:34" x14ac:dyDescent="0.2">
      <c r="A449" s="347">
        <f t="shared" ca="1" si="180"/>
        <v>0.1</v>
      </c>
      <c r="B449" s="304">
        <f t="shared" ca="1" si="181"/>
        <v>8.4999999999999432</v>
      </c>
      <c r="D449" s="306">
        <f t="shared" ca="1" si="182"/>
        <v>-0.90252540554191507</v>
      </c>
      <c r="E449" s="307">
        <f t="shared" ca="1" si="183"/>
        <v>-15.777770581226786</v>
      </c>
      <c r="F449" s="304">
        <f t="shared" ca="1" si="184"/>
        <v>15.803562782533376</v>
      </c>
      <c r="G449" s="306">
        <f t="shared" ca="1" si="185"/>
        <v>18.139005808081997</v>
      </c>
      <c r="H449" s="307">
        <f t="shared" ca="1" si="186"/>
        <v>118.95958512865458</v>
      </c>
      <c r="I449" s="304">
        <f t="shared" ca="1" si="187"/>
        <v>120.33456039595295</v>
      </c>
      <c r="J449" s="306">
        <f t="shared" ca="1" si="188"/>
        <v>161.93309226385446</v>
      </c>
      <c r="K449" s="307">
        <f t="shared" ca="1" si="189"/>
        <v>1360.64815207838</v>
      </c>
      <c r="L449" s="304">
        <f t="shared" ca="1" si="174"/>
        <v>1370.2502399651112</v>
      </c>
      <c r="M449" s="306">
        <f t="shared" ca="1" si="190"/>
        <v>1.4194814416184527</v>
      </c>
      <c r="N449" s="304">
        <f t="shared" ca="1" si="191"/>
        <v>81.330295701883102</v>
      </c>
      <c r="P449" s="310">
        <f t="shared" ca="1" si="192"/>
        <v>23</v>
      </c>
      <c r="Q449" s="304">
        <f t="shared" ca="1" si="193"/>
        <v>0</v>
      </c>
      <c r="R449" s="306">
        <f t="shared" ca="1" si="194"/>
        <v>0</v>
      </c>
      <c r="S449" s="307">
        <f t="shared" ca="1" si="195"/>
        <v>6.1519999999999921</v>
      </c>
      <c r="T449" s="304">
        <f t="shared" ca="1" si="175"/>
        <v>60.351119999999923</v>
      </c>
      <c r="U449" s="311">
        <f t="shared" ca="1" si="176"/>
        <v>0</v>
      </c>
      <c r="V449" s="306">
        <f t="shared" ca="1" si="177"/>
        <v>1.0689378829304077</v>
      </c>
      <c r="W449" s="304">
        <f t="shared" ca="1" si="178"/>
        <v>36.135397313214362</v>
      </c>
      <c r="Y449" s="314" t="str">
        <f t="shared" ca="1" si="196"/>
        <v/>
      </c>
      <c r="Z449" s="315" t="str">
        <f t="shared" ca="1" si="197"/>
        <v/>
      </c>
      <c r="AA449" s="316" t="str">
        <f t="shared" ca="1" si="198"/>
        <v/>
      </c>
      <c r="AC449" s="310" t="e">
        <f t="shared" ca="1" si="199"/>
        <v>#N/A</v>
      </c>
      <c r="AD449" s="323" t="e">
        <f t="shared" ca="1" si="200"/>
        <v>#N/A</v>
      </c>
      <c r="AE449" s="324">
        <f t="shared" ca="1" si="179"/>
        <v>1360.64815207838</v>
      </c>
      <c r="AG449" s="306">
        <f t="shared" ca="1" si="201"/>
        <v>-15.735334401385231</v>
      </c>
      <c r="AH449" s="304">
        <f t="shared" ca="1" si="202"/>
        <v>-6.0356306893152825</v>
      </c>
    </row>
    <row r="450" spans="1:34" x14ac:dyDescent="0.2">
      <c r="A450" s="347">
        <f t="shared" ca="1" si="180"/>
        <v>0.1</v>
      </c>
      <c r="B450" s="304">
        <f t="shared" ca="1" si="181"/>
        <v>8.5999999999999428</v>
      </c>
      <c r="D450" s="306">
        <f t="shared" ca="1" si="182"/>
        <v>-0.88540019139388326</v>
      </c>
      <c r="E450" s="307">
        <f t="shared" ca="1" si="183"/>
        <v>-15.616648972686169</v>
      </c>
      <c r="F450" s="304">
        <f t="shared" ca="1" si="184"/>
        <v>15.641728121758808</v>
      </c>
      <c r="G450" s="306">
        <f t="shared" ca="1" si="185"/>
        <v>18.05046578894261</v>
      </c>
      <c r="H450" s="307">
        <f t="shared" ca="1" si="186"/>
        <v>117.39792023138597</v>
      </c>
      <c r="I450" s="304">
        <f t="shared" ca="1" si="187"/>
        <v>118.77748519754344</v>
      </c>
      <c r="J450" s="306">
        <f t="shared" ca="1" si="188"/>
        <v>163.74256584370571</v>
      </c>
      <c r="K450" s="307">
        <f t="shared" ca="1" si="189"/>
        <v>1372.4660273463821</v>
      </c>
      <c r="L450" s="304">
        <f t="shared" ca="1" si="174"/>
        <v>1382.1991984113724</v>
      </c>
      <c r="M450" s="306">
        <f t="shared" ca="1" si="190"/>
        <v>1.418236473879334</v>
      </c>
      <c r="N450" s="304">
        <f t="shared" ca="1" si="191"/>
        <v>81.258964304801665</v>
      </c>
      <c r="P450" s="310">
        <f t="shared" ca="1" si="192"/>
        <v>23</v>
      </c>
      <c r="Q450" s="304">
        <f t="shared" ca="1" si="193"/>
        <v>0</v>
      </c>
      <c r="R450" s="306">
        <f t="shared" ca="1" si="194"/>
        <v>0</v>
      </c>
      <c r="S450" s="307">
        <f t="shared" ca="1" si="195"/>
        <v>6.1519999999999921</v>
      </c>
      <c r="T450" s="304">
        <f t="shared" ca="1" si="175"/>
        <v>60.351119999999923</v>
      </c>
      <c r="U450" s="311">
        <f t="shared" ca="1" si="176"/>
        <v>0</v>
      </c>
      <c r="V450" s="306">
        <f t="shared" ca="1" si="177"/>
        <v>1.0676694531788604</v>
      </c>
      <c r="W450" s="304">
        <f t="shared" ca="1" si="178"/>
        <v>35.164519176447897</v>
      </c>
      <c r="Y450" s="314" t="str">
        <f t="shared" ca="1" si="196"/>
        <v/>
      </c>
      <c r="Z450" s="315" t="str">
        <f t="shared" ca="1" si="197"/>
        <v/>
      </c>
      <c r="AA450" s="316" t="str">
        <f t="shared" ca="1" si="198"/>
        <v/>
      </c>
      <c r="AC450" s="310" t="e">
        <f t="shared" ca="1" si="199"/>
        <v>#N/A</v>
      </c>
      <c r="AD450" s="323" t="e">
        <f t="shared" ca="1" si="200"/>
        <v>#N/A</v>
      </c>
      <c r="AE450" s="324">
        <f t="shared" ca="1" si="179"/>
        <v>1372.4660273463821</v>
      </c>
      <c r="AG450" s="306">
        <f t="shared" ca="1" si="201"/>
        <v>-15.57167247662764</v>
      </c>
      <c r="AH450" s="304">
        <f t="shared" ca="1" si="202"/>
        <v>-5.8737641926551376</v>
      </c>
    </row>
    <row r="451" spans="1:34" x14ac:dyDescent="0.2">
      <c r="A451" s="347">
        <f t="shared" ca="1" si="180"/>
        <v>0.1</v>
      </c>
      <c r="B451" s="304">
        <f t="shared" ca="1" si="181"/>
        <v>8.6999999999999424</v>
      </c>
      <c r="D451" s="306">
        <f t="shared" ca="1" si="182"/>
        <v>-0.86864563960406205</v>
      </c>
      <c r="E451" s="307">
        <f t="shared" ca="1" si="183"/>
        <v>-15.459560111077483</v>
      </c>
      <c r="F451" s="304">
        <f t="shared" ca="1" si="184"/>
        <v>15.483944719457673</v>
      </c>
      <c r="G451" s="306">
        <f t="shared" ca="1" si="185"/>
        <v>17.963601224982202</v>
      </c>
      <c r="H451" s="307">
        <f t="shared" ca="1" si="186"/>
        <v>115.85196422027822</v>
      </c>
      <c r="I451" s="304">
        <f t="shared" ca="1" si="187"/>
        <v>117.23637909227156</v>
      </c>
      <c r="J451" s="306">
        <f t="shared" ca="1" si="188"/>
        <v>165.54326919440194</v>
      </c>
      <c r="K451" s="307">
        <f t="shared" ca="1" si="189"/>
        <v>1384.1285215689654</v>
      </c>
      <c r="L451" s="304">
        <f t="shared" ca="1" si="174"/>
        <v>1393.9929476852672</v>
      </c>
      <c r="M451" s="306">
        <f t="shared" ca="1" si="190"/>
        <v>1.4169648431472799</v>
      </c>
      <c r="N451" s="304">
        <f t="shared" ca="1" si="191"/>
        <v>81.186105230755828</v>
      </c>
      <c r="P451" s="310">
        <f t="shared" ca="1" si="192"/>
        <v>23</v>
      </c>
      <c r="Q451" s="304">
        <f t="shared" ca="1" si="193"/>
        <v>0</v>
      </c>
      <c r="R451" s="306">
        <f t="shared" ca="1" si="194"/>
        <v>0</v>
      </c>
      <c r="S451" s="307">
        <f t="shared" ca="1" si="195"/>
        <v>6.1519999999999921</v>
      </c>
      <c r="T451" s="304">
        <f t="shared" ca="1" si="175"/>
        <v>60.351119999999923</v>
      </c>
      <c r="U451" s="311">
        <f t="shared" ca="1" si="176"/>
        <v>0</v>
      </c>
      <c r="V451" s="306">
        <f t="shared" ca="1" si="177"/>
        <v>1.0664190751601808</v>
      </c>
      <c r="W451" s="304">
        <f t="shared" ca="1" si="178"/>
        <v>34.217817992319681</v>
      </c>
      <c r="Y451" s="314" t="str">
        <f t="shared" ca="1" si="196"/>
        <v/>
      </c>
      <c r="Z451" s="315" t="str">
        <f t="shared" ca="1" si="197"/>
        <v/>
      </c>
      <c r="AA451" s="316" t="str">
        <f t="shared" ca="1" si="198"/>
        <v/>
      </c>
      <c r="AC451" s="310" t="e">
        <f t="shared" ca="1" si="199"/>
        <v>#N/A</v>
      </c>
      <c r="AD451" s="323" t="e">
        <f t="shared" ca="1" si="200"/>
        <v>#N/A</v>
      </c>
      <c r="AE451" s="324">
        <f t="shared" ca="1" si="179"/>
        <v>1384.1285215689654</v>
      </c>
      <c r="AG451" s="306">
        <f t="shared" ca="1" si="201"/>
        <v>-15.412008934929348</v>
      </c>
      <c r="AH451" s="304">
        <f t="shared" ca="1" si="202"/>
        <v>-5.7159491509180658</v>
      </c>
    </row>
    <row r="452" spans="1:34" x14ac:dyDescent="0.2">
      <c r="A452" s="347">
        <f t="shared" ca="1" si="180"/>
        <v>0.1</v>
      </c>
      <c r="B452" s="304">
        <f t="shared" ca="1" si="181"/>
        <v>8.7999999999999421</v>
      </c>
      <c r="D452" s="306">
        <f t="shared" ca="1" si="182"/>
        <v>-0.85224996907311756</v>
      </c>
      <c r="E452" s="307">
        <f t="shared" ca="1" si="183"/>
        <v>-15.306383029616596</v>
      </c>
      <c r="F452" s="304">
        <f t="shared" ca="1" si="184"/>
        <v>15.330091045363039</v>
      </c>
      <c r="G452" s="306">
        <f t="shared" ca="1" si="185"/>
        <v>17.878376228074892</v>
      </c>
      <c r="H452" s="307">
        <f t="shared" ca="1" si="186"/>
        <v>114.32132591731656</v>
      </c>
      <c r="I452" s="304">
        <f t="shared" ca="1" si="187"/>
        <v>115.71085470277154</v>
      </c>
      <c r="J452" s="306">
        <f t="shared" ca="1" si="188"/>
        <v>167.33536806705479</v>
      </c>
      <c r="K452" s="307">
        <f t="shared" ca="1" si="189"/>
        <v>1395.6371860758452</v>
      </c>
      <c r="L452" s="304">
        <f t="shared" ref="L452:L515" ca="1" si="203">SQRT(pos_x^2+pos_z^2)</f>
        <v>1405.633053312222</v>
      </c>
      <c r="M452" s="306">
        <f t="shared" ca="1" si="190"/>
        <v>1.4156657926394862</v>
      </c>
      <c r="N452" s="304">
        <f t="shared" ca="1" si="191"/>
        <v>81.111675119284925</v>
      </c>
      <c r="P452" s="310">
        <f t="shared" ca="1" si="192"/>
        <v>23</v>
      </c>
      <c r="Q452" s="304">
        <f t="shared" ca="1" si="193"/>
        <v>0</v>
      </c>
      <c r="R452" s="306">
        <f t="shared" ca="1" si="194"/>
        <v>0</v>
      </c>
      <c r="S452" s="307">
        <f t="shared" ca="1" si="195"/>
        <v>6.1519999999999921</v>
      </c>
      <c r="T452" s="304">
        <f t="shared" ref="T452:T515" ca="1" si="204">m*g</f>
        <v>60.351119999999923</v>
      </c>
      <c r="U452" s="311">
        <f t="shared" ref="U452:U515" ca="1" si="205">IF(pos_xz&lt;L_rampe,Poids*COS(Beta),0)</f>
        <v>0</v>
      </c>
      <c r="V452" s="306">
        <f t="shared" ref="V452:V515" ca="1" si="206">Rho_moyen*(20000-Alt_rampe-pos_z)/(20000+Alt_rampe+pos_z)</f>
        <v>1.0651865260591031</v>
      </c>
      <c r="W452" s="304">
        <f t="shared" ref="W452:W515" ca="1" si="207">1/2*Rho*Sref*Cx*vit_xz^2</f>
        <v>33.294575444924718</v>
      </c>
      <c r="Y452" s="314" t="str">
        <f t="shared" ca="1" si="196"/>
        <v/>
      </c>
      <c r="Z452" s="315" t="str">
        <f t="shared" ca="1" si="197"/>
        <v/>
      </c>
      <c r="AA452" s="316" t="str">
        <f t="shared" ca="1" si="198"/>
        <v/>
      </c>
      <c r="AC452" s="310" t="e">
        <f t="shared" ca="1" si="199"/>
        <v>#N/A</v>
      </c>
      <c r="AD452" s="323" t="e">
        <f t="shared" ca="1" si="200"/>
        <v>#N/A</v>
      </c>
      <c r="AE452" s="324">
        <f t="shared" ref="AE452:AE515" ca="1" si="208">IF(t&lt;T_para, pos_z, NA())</f>
        <v>1395.6371860758452</v>
      </c>
      <c r="AG452" s="306">
        <f t="shared" ca="1" si="201"/>
        <v>-15.256220223841382</v>
      </c>
      <c r="AH452" s="304">
        <f t="shared" ca="1" si="202"/>
        <v>-5.5620640429648445</v>
      </c>
    </row>
    <row r="453" spans="1:34" x14ac:dyDescent="0.2">
      <c r="A453" s="347">
        <f t="shared" ref="A453:A516" ca="1" si="209">IF(B452+0.01&lt;=T_ini+ROUNDUP(Temps_fin_propu,0), 0.01, IF(K452&gt;0, 0.1, 0.0001))</f>
        <v>0.1</v>
      </c>
      <c r="B453" s="304">
        <f t="shared" ref="B453:B516" ca="1" si="210">B452+pas</f>
        <v>8.8999999999999417</v>
      </c>
      <c r="D453" s="306">
        <f t="shared" ref="D453:D516" ca="1" si="211">IF(AND(L452&lt;L_rampe,Poussee&lt;Poids*SIN(M452)),0,(-W452+Poussee)/m*COS(M452)-U452/m*SIN(M452))</f>
        <v>-0.83620185235510658</v>
      </c>
      <c r="E453" s="307">
        <f t="shared" ref="E453:E516" ca="1" si="212">IF(AND(L452&lt;L_rampe,Poussee&lt;Poids*SIN(M452)),0,(-W452+Poussee)/m*SIN(M452)+U452/m*COS(M452)-Poids/m)</f>
        <v>-15.157001499254475</v>
      </c>
      <c r="F453" s="304">
        <f t="shared" ref="F453:F516" ca="1" si="213">SQRT(acc_x^2+acc_z^2)</f>
        <v>15.180050328845571</v>
      </c>
      <c r="G453" s="306">
        <f t="shared" ref="G453:G516" ca="1" si="214">G452+acc_x*pas</f>
        <v>17.794756042839381</v>
      </c>
      <c r="H453" s="307">
        <f t="shared" ref="H453:H516" ca="1" si="215">H452+acc_z*pas</f>
        <v>112.80562576739111</v>
      </c>
      <c r="I453" s="304">
        <f t="shared" ref="I453:I516" ca="1" si="216">SQRT(vit_x^2+vit_z^2)</f>
        <v>114.20053654601129</v>
      </c>
      <c r="J453" s="306">
        <f t="shared" ref="J453:J516" ca="1" si="217">J452+0.5*(vit_x+G452)*pas*(K452&gt;=0)</f>
        <v>169.11902468060049</v>
      </c>
      <c r="K453" s="307">
        <f t="shared" ref="K453:K516" ca="1" si="218">K452+0.5*(vit_z+H452)*pas</f>
        <v>1406.9935336600806</v>
      </c>
      <c r="L453" s="304">
        <f t="shared" ca="1" si="203"/>
        <v>1417.1210422085326</v>
      </c>
      <c r="M453" s="306">
        <f t="shared" ref="M453:M516" ca="1" si="219">IF(AND(L452&gt;L_rampe,G453&gt;0),ATAN2(G453,H453),$M$4)</f>
        <v>1.4143385358328591</v>
      </c>
      <c r="N453" s="304">
        <f t="shared" ref="N453:N516" ca="1" si="220">DEGREES(Beta)</f>
        <v>81.03562890593517</v>
      </c>
      <c r="P453" s="310">
        <f t="shared" ref="P453:P516" ca="1" si="221">MATCH(t-pas/2-T_ini,CdP_t)</f>
        <v>23</v>
      </c>
      <c r="Q453" s="304">
        <f t="shared" ref="Q453:Q516" ca="1" si="222">(INDEX(CdP,2,i_P+1)-INDEX(CdP,2,i_P+0))/(INDEX(CdP,1,i_P+1)-INDEX(CdP,1,i_P+0))*(t-pas/2-T_ini-INDEX(CdP,1,i_P+0))+INDEX(CdP,2,i_P+0)</f>
        <v>0</v>
      </c>
      <c r="R453" s="306">
        <f t="shared" ref="R453:R516" ca="1" si="223">Poussee/(g*ISP)</f>
        <v>0</v>
      </c>
      <c r="S453" s="307">
        <f t="shared" ref="S453:S516" ca="1" si="224">S452-Débit*pas</f>
        <v>6.1519999999999921</v>
      </c>
      <c r="T453" s="304">
        <f t="shared" ca="1" si="204"/>
        <v>60.351119999999923</v>
      </c>
      <c r="U453" s="311">
        <f t="shared" ca="1" si="205"/>
        <v>0</v>
      </c>
      <c r="V453" s="306">
        <f t="shared" ca="1" si="206"/>
        <v>1.0639715887919075</v>
      </c>
      <c r="W453" s="304">
        <f t="shared" ca="1" si="207"/>
        <v>32.394101148801234</v>
      </c>
      <c r="Y453" s="314" t="str">
        <f t="shared" ref="Y453:Y516" ca="1" si="225">IF(AND(pos_z&lt;=0,K452&gt;0),"Impact balistique","") &amp; IF(AND(H454&lt;0,vit_z&gt;=0),"Apogée","") &amp; IF(AND(Poussee=0,Q452&gt;0),"Fin de propulsion","") &amp; IF(AND(L454&gt;L_rampe,pos_xz&lt;=L_rampe),"Sortie de rampe","")</f>
        <v/>
      </c>
      <c r="Z453" s="315" t="str">
        <f t="shared" ref="Z453:Z516" ca="1" si="226">IF(ABS(t-T_para)&lt;pas/2,"Para","")</f>
        <v/>
      </c>
      <c r="AA453" s="316" t="str">
        <f t="shared" ref="AA453:AA516" ca="1" si="227">IF(ABS(t-T_satellite)&lt;pas/2,"Satellite","")</f>
        <v/>
      </c>
      <c r="AC453" s="310" t="e">
        <f t="shared" ref="AC453:AC516" ca="1" si="228">IF(ABS(t-ROUND(t,0))&lt;0.001,t,NA())</f>
        <v>#N/A</v>
      </c>
      <c r="AD453" s="323" t="e">
        <f t="shared" ref="AD453:AD516" ca="1" si="229">IF(ABS(t-ROUND(t,0))&lt;0.001,pos_x,NA())</f>
        <v>#N/A</v>
      </c>
      <c r="AE453" s="324">
        <f t="shared" ca="1" si="208"/>
        <v>1406.9935336600806</v>
      </c>
      <c r="AG453" s="306">
        <f t="shared" ref="AG453:AG516" ca="1" si="230">IF(AND(L452&lt;L_rampe,Poussee&lt;Poids*SIN(M452)),0,(-W452+Poussee)/m-Poids*SIN(M452)/m)</f>
        <v>-15.104187451850896</v>
      </c>
      <c r="AH453" s="304">
        <f t="shared" ref="AH453:AH516" ca="1" si="231">IF(AND(L452&lt;L_rampe,Poussee&lt;Poids*SIN(M452)), g*SIN(M452), (-W452+Poussee)/m)</f>
        <v>-5.4119921074325035</v>
      </c>
    </row>
    <row r="454" spans="1:34" x14ac:dyDescent="0.2">
      <c r="A454" s="347">
        <f t="shared" ca="1" si="209"/>
        <v>0.1</v>
      </c>
      <c r="B454" s="304">
        <f t="shared" ca="1" si="210"/>
        <v>8.9999999999999414</v>
      </c>
      <c r="D454" s="306">
        <f t="shared" ca="1" si="211"/>
        <v>-0.82049039463452633</v>
      </c>
      <c r="E454" s="307">
        <f t="shared" ca="1" si="212"/>
        <v>-15.011303809957315</v>
      </c>
      <c r="F454" s="304">
        <f t="shared" ca="1" si="213"/>
        <v>15.033710339185285</v>
      </c>
      <c r="G454" s="306">
        <f t="shared" ca="1" si="214"/>
        <v>17.712707003375929</v>
      </c>
      <c r="H454" s="307">
        <f t="shared" ca="1" si="215"/>
        <v>111.30449538639537</v>
      </c>
      <c r="I454" s="304">
        <f t="shared" ca="1" si="216"/>
        <v>112.70506059005315</v>
      </c>
      <c r="J454" s="306">
        <f t="shared" ca="1" si="217"/>
        <v>170.89439783291127</v>
      </c>
      <c r="K454" s="307">
        <f t="shared" ca="1" si="218"/>
        <v>1418.1990397177699</v>
      </c>
      <c r="L454" s="304">
        <f t="shared" ca="1" si="203"/>
        <v>1428.4584038280841</v>
      </c>
      <c r="M454" s="306">
        <f t="shared" ca="1" si="219"/>
        <v>1.4129822550203319</v>
      </c>
      <c r="N454" s="304">
        <f t="shared" ca="1" si="220"/>
        <v>80.957919739542803</v>
      </c>
      <c r="P454" s="310">
        <f t="shared" ca="1" si="221"/>
        <v>23</v>
      </c>
      <c r="Q454" s="304">
        <f t="shared" ca="1" si="222"/>
        <v>0</v>
      </c>
      <c r="R454" s="306">
        <f t="shared" ca="1" si="223"/>
        <v>0</v>
      </c>
      <c r="S454" s="307">
        <f t="shared" ca="1" si="224"/>
        <v>6.1519999999999921</v>
      </c>
      <c r="T454" s="304">
        <f t="shared" ca="1" si="204"/>
        <v>60.351119999999923</v>
      </c>
      <c r="U454" s="311">
        <f t="shared" ca="1" si="205"/>
        <v>0</v>
      </c>
      <c r="V454" s="306">
        <f t="shared" ca="1" si="206"/>
        <v>1.0627740518301618</v>
      </c>
      <c r="W454" s="304">
        <f t="shared" ca="1" si="207"/>
        <v>31.515731370220387</v>
      </c>
      <c r="Y454" s="314" t="str">
        <f t="shared" ca="1" si="225"/>
        <v/>
      </c>
      <c r="Z454" s="315" t="str">
        <f t="shared" ca="1" si="226"/>
        <v/>
      </c>
      <c r="AA454" s="316" t="str">
        <f t="shared" ca="1" si="227"/>
        <v/>
      </c>
      <c r="AC454" s="310">
        <f t="shared" ca="1" si="228"/>
        <v>8.9999999999999414</v>
      </c>
      <c r="AD454" s="323">
        <f t="shared" ca="1" si="229"/>
        <v>170.89439783291127</v>
      </c>
      <c r="AE454" s="324">
        <f t="shared" ca="1" si="208"/>
        <v>1418.1990397177699</v>
      </c>
      <c r="AG454" s="306">
        <f t="shared" ca="1" si="230"/>
        <v>-14.955796162888744</v>
      </c>
      <c r="AH454" s="304">
        <f t="shared" ca="1" si="231"/>
        <v>-5.2656211230171124</v>
      </c>
    </row>
    <row r="455" spans="1:34" x14ac:dyDescent="0.2">
      <c r="A455" s="347">
        <f t="shared" ca="1" si="209"/>
        <v>0.1</v>
      </c>
      <c r="B455" s="304">
        <f t="shared" ca="1" si="210"/>
        <v>9.099999999999941</v>
      </c>
      <c r="D455" s="306">
        <f t="shared" ca="1" si="211"/>
        <v>-0.80510511384122152</v>
      </c>
      <c r="E455" s="307">
        <f t="shared" ca="1" si="212"/>
        <v>-14.869182563795814</v>
      </c>
      <c r="F455" s="304">
        <f t="shared" ca="1" si="213"/>
        <v>14.890963177706899</v>
      </c>
      <c r="G455" s="306">
        <f t="shared" ca="1" si="214"/>
        <v>17.632196491991806</v>
      </c>
      <c r="H455" s="307">
        <f t="shared" ca="1" si="215"/>
        <v>109.81757713001579</v>
      </c>
      <c r="I455" s="304">
        <f t="shared" ca="1" si="216"/>
        <v>111.2240738322382</v>
      </c>
      <c r="J455" s="306">
        <f t="shared" ca="1" si="217"/>
        <v>172.66164300767966</v>
      </c>
      <c r="K455" s="307">
        <f t="shared" ca="1" si="218"/>
        <v>1429.2551433435904</v>
      </c>
      <c r="L455" s="304">
        <f t="shared" ca="1" si="203"/>
        <v>1439.6465912647516</v>
      </c>
      <c r="M455" s="306">
        <f t="shared" ca="1" si="219"/>
        <v>1.4115960997825201</v>
      </c>
      <c r="N455" s="304">
        <f t="shared" ca="1" si="220"/>
        <v>80.878498894666222</v>
      </c>
      <c r="P455" s="310">
        <f t="shared" ca="1" si="221"/>
        <v>23</v>
      </c>
      <c r="Q455" s="304">
        <f t="shared" ca="1" si="222"/>
        <v>0</v>
      </c>
      <c r="R455" s="306">
        <f t="shared" ca="1" si="223"/>
        <v>0</v>
      </c>
      <c r="S455" s="307">
        <f t="shared" ca="1" si="224"/>
        <v>6.1519999999999921</v>
      </c>
      <c r="T455" s="304">
        <f t="shared" ca="1" si="204"/>
        <v>60.351119999999923</v>
      </c>
      <c r="U455" s="311">
        <f t="shared" ca="1" si="205"/>
        <v>0</v>
      </c>
      <c r="V455" s="306">
        <f t="shared" ca="1" si="206"/>
        <v>1.0615937090314829</v>
      </c>
      <c r="W455" s="304">
        <f t="shared" ca="1" si="207"/>
        <v>30.658827816992773</v>
      </c>
      <c r="Y455" s="314" t="str">
        <f t="shared" ca="1" si="225"/>
        <v/>
      </c>
      <c r="Z455" s="315" t="str">
        <f t="shared" ca="1" si="226"/>
        <v/>
      </c>
      <c r="AA455" s="316" t="str">
        <f t="shared" ca="1" si="227"/>
        <v/>
      </c>
      <c r="AC455" s="310" t="e">
        <f t="shared" ca="1" si="228"/>
        <v>#N/A</v>
      </c>
      <c r="AD455" s="323" t="e">
        <f t="shared" ca="1" si="229"/>
        <v>#N/A</v>
      </c>
      <c r="AE455" s="324">
        <f t="shared" ca="1" si="208"/>
        <v>1429.2551433435904</v>
      </c>
      <c r="AG455" s="306">
        <f t="shared" ca="1" si="230"/>
        <v>-14.810936122305701</v>
      </c>
      <c r="AH455" s="304">
        <f t="shared" ca="1" si="231"/>
        <v>-5.1228432006210056</v>
      </c>
    </row>
    <row r="456" spans="1:34" x14ac:dyDescent="0.2">
      <c r="A456" s="347">
        <f t="shared" ca="1" si="209"/>
        <v>0.1</v>
      </c>
      <c r="B456" s="304">
        <f t="shared" ca="1" si="210"/>
        <v>9.1999999999999407</v>
      </c>
      <c r="D456" s="306">
        <f t="shared" ca="1" si="211"/>
        <v>-0.79003592183374005</v>
      </c>
      <c r="E456" s="307">
        <f t="shared" ca="1" si="212"/>
        <v>-14.730534479119745</v>
      </c>
      <c r="F456" s="304">
        <f t="shared" ca="1" si="213"/>
        <v>14.75170508105159</v>
      </c>
      <c r="G456" s="306">
        <f t="shared" ca="1" si="214"/>
        <v>17.553192899808433</v>
      </c>
      <c r="H456" s="307">
        <f t="shared" ca="1" si="215"/>
        <v>108.34452368210381</v>
      </c>
      <c r="I456" s="304">
        <f t="shared" ca="1" si="216"/>
        <v>109.75723389772465</v>
      </c>
      <c r="J456" s="306">
        <f t="shared" ca="1" si="217"/>
        <v>174.42091247726967</v>
      </c>
      <c r="K456" s="307">
        <f t="shared" ca="1" si="218"/>
        <v>1440.1632483841963</v>
      </c>
      <c r="L456" s="304">
        <f t="shared" ca="1" si="203"/>
        <v>1450.6870223125054</v>
      </c>
      <c r="M456" s="306">
        <f t="shared" ca="1" si="219"/>
        <v>1.4101791853689243</v>
      </c>
      <c r="N456" s="304">
        <f t="shared" ca="1" si="220"/>
        <v>80.797315678835929</v>
      </c>
      <c r="P456" s="310">
        <f t="shared" ca="1" si="221"/>
        <v>23</v>
      </c>
      <c r="Q456" s="304">
        <f t="shared" ca="1" si="222"/>
        <v>0</v>
      </c>
      <c r="R456" s="306">
        <f t="shared" ca="1" si="223"/>
        <v>0</v>
      </c>
      <c r="S456" s="307">
        <f t="shared" ca="1" si="224"/>
        <v>6.1519999999999921</v>
      </c>
      <c r="T456" s="304">
        <f t="shared" ca="1" si="204"/>
        <v>60.351119999999923</v>
      </c>
      <c r="U456" s="311">
        <f t="shared" ca="1" si="205"/>
        <v>0</v>
      </c>
      <c r="V456" s="306">
        <f t="shared" ca="1" si="206"/>
        <v>1.0604303594769879</v>
      </c>
      <c r="W456" s="304">
        <f t="shared" ca="1" si="207"/>
        <v>29.82277649262592</v>
      </c>
      <c r="Y456" s="314" t="str">
        <f t="shared" ca="1" si="225"/>
        <v/>
      </c>
      <c r="Z456" s="315" t="str">
        <f t="shared" ca="1" si="226"/>
        <v/>
      </c>
      <c r="AA456" s="316" t="str">
        <f t="shared" ca="1" si="227"/>
        <v/>
      </c>
      <c r="AC456" s="310" t="e">
        <f t="shared" ca="1" si="228"/>
        <v>#N/A</v>
      </c>
      <c r="AD456" s="323" t="e">
        <f t="shared" ca="1" si="229"/>
        <v>#N/A</v>
      </c>
      <c r="AE456" s="324">
        <f t="shared" ca="1" si="208"/>
        <v>1440.1632483841963</v>
      </c>
      <c r="AG456" s="306">
        <f t="shared" ca="1" si="230"/>
        <v>-14.669501113559065</v>
      </c>
      <c r="AH456" s="304">
        <f t="shared" ca="1" si="231"/>
        <v>-4.9835545866373234</v>
      </c>
    </row>
    <row r="457" spans="1:34" x14ac:dyDescent="0.2">
      <c r="A457" s="347">
        <f t="shared" ca="1" si="209"/>
        <v>0.1</v>
      </c>
      <c r="B457" s="304">
        <f t="shared" ca="1" si="210"/>
        <v>9.2999999999999403</v>
      </c>
      <c r="D457" s="306">
        <f t="shared" ca="1" si="211"/>
        <v>-0.77527310658654769</v>
      </c>
      <c r="E457" s="307">
        <f t="shared" ca="1" si="212"/>
        <v>-14.59526020514371</v>
      </c>
      <c r="F457" s="304">
        <f t="shared" ca="1" si="213"/>
        <v>14.615836234907942</v>
      </c>
      <c r="G457" s="306">
        <f t="shared" ca="1" si="214"/>
        <v>17.475665589149777</v>
      </c>
      <c r="H457" s="307">
        <f t="shared" ca="1" si="215"/>
        <v>106.88499766158944</v>
      </c>
      <c r="I457" s="304">
        <f t="shared" ca="1" si="216"/>
        <v>108.30420865738216</v>
      </c>
      <c r="J457" s="306">
        <f t="shared" ca="1" si="217"/>
        <v>176.17235540171757</v>
      </c>
      <c r="K457" s="307">
        <f t="shared" ca="1" si="218"/>
        <v>1450.9247244513811</v>
      </c>
      <c r="L457" s="304">
        <f t="shared" ca="1" si="203"/>
        <v>1461.5810804851387</v>
      </c>
      <c r="M457" s="306">
        <f t="shared" ca="1" si="219"/>
        <v>1.4087305909824468</v>
      </c>
      <c r="N457" s="304">
        <f t="shared" ca="1" si="220"/>
        <v>80.714317334264422</v>
      </c>
      <c r="P457" s="310">
        <f t="shared" ca="1" si="221"/>
        <v>23</v>
      </c>
      <c r="Q457" s="304">
        <f t="shared" ca="1" si="222"/>
        <v>0</v>
      </c>
      <c r="R457" s="306">
        <f t="shared" ca="1" si="223"/>
        <v>0</v>
      </c>
      <c r="S457" s="307">
        <f t="shared" ca="1" si="224"/>
        <v>6.1519999999999921</v>
      </c>
      <c r="T457" s="304">
        <f t="shared" ca="1" si="204"/>
        <v>60.351119999999923</v>
      </c>
      <c r="U457" s="311">
        <f t="shared" ca="1" si="205"/>
        <v>0</v>
      </c>
      <c r="V457" s="306">
        <f t="shared" ca="1" si="206"/>
        <v>1.0592838073151274</v>
      </c>
      <c r="W457" s="304">
        <f t="shared" ca="1" si="207"/>
        <v>29.006986610950229</v>
      </c>
      <c r="Y457" s="314" t="str">
        <f t="shared" ca="1" si="225"/>
        <v/>
      </c>
      <c r="Z457" s="315" t="str">
        <f t="shared" ca="1" si="226"/>
        <v/>
      </c>
      <c r="AA457" s="316" t="str">
        <f t="shared" ca="1" si="227"/>
        <v/>
      </c>
      <c r="AC457" s="310" t="e">
        <f t="shared" ca="1" si="228"/>
        <v>#N/A</v>
      </c>
      <c r="AD457" s="323" t="e">
        <f t="shared" ca="1" si="229"/>
        <v>#N/A</v>
      </c>
      <c r="AE457" s="324">
        <f t="shared" ca="1" si="208"/>
        <v>1450.9247244513811</v>
      </c>
      <c r="AG457" s="306">
        <f t="shared" ca="1" si="230"/>
        <v>-14.531388744898674</v>
      </c>
      <c r="AH457" s="304">
        <f t="shared" ca="1" si="231"/>
        <v>-4.8476554766947269</v>
      </c>
    </row>
    <row r="458" spans="1:34" x14ac:dyDescent="0.2">
      <c r="A458" s="347">
        <f t="shared" ca="1" si="209"/>
        <v>0.1</v>
      </c>
      <c r="B458" s="304">
        <f t="shared" ca="1" si="210"/>
        <v>9.39999999999994</v>
      </c>
      <c r="D458" s="306">
        <f t="shared" ca="1" si="211"/>
        <v>-0.7608073153209105</v>
      </c>
      <c r="E458" s="307">
        <f t="shared" ca="1" si="212"/>
        <v>-14.463264146315815</v>
      </c>
      <c r="F458" s="304">
        <f t="shared" ca="1" si="213"/>
        <v>14.48326059757092</v>
      </c>
      <c r="G458" s="306">
        <f t="shared" ca="1" si="214"/>
        <v>17.399584857617686</v>
      </c>
      <c r="H458" s="307">
        <f t="shared" ca="1" si="215"/>
        <v>105.43867124695785</v>
      </c>
      <c r="I458" s="304">
        <f t="shared" ca="1" si="216"/>
        <v>106.86467586411095</v>
      </c>
      <c r="J458" s="306">
        <f t="shared" ca="1" si="217"/>
        <v>177.91611792405595</v>
      </c>
      <c r="K458" s="307">
        <f t="shared" ca="1" si="218"/>
        <v>1461.5409078968084</v>
      </c>
      <c r="L458" s="304">
        <f t="shared" ca="1" si="203"/>
        <v>1472.330115997426</v>
      </c>
      <c r="M458" s="306">
        <f t="shared" ca="1" si="219"/>
        <v>1.4072493579604846</v>
      </c>
      <c r="N458" s="304">
        <f t="shared" ca="1" si="220"/>
        <v>80.629448933630584</v>
      </c>
      <c r="P458" s="310">
        <f t="shared" ca="1" si="221"/>
        <v>23</v>
      </c>
      <c r="Q458" s="304">
        <f t="shared" ca="1" si="222"/>
        <v>0</v>
      </c>
      <c r="R458" s="306">
        <f t="shared" ca="1" si="223"/>
        <v>0</v>
      </c>
      <c r="S458" s="307">
        <f t="shared" ca="1" si="224"/>
        <v>6.1519999999999921</v>
      </c>
      <c r="T458" s="304">
        <f t="shared" ca="1" si="204"/>
        <v>60.351119999999923</v>
      </c>
      <c r="U458" s="311">
        <f t="shared" ca="1" si="205"/>
        <v>0</v>
      </c>
      <c r="V458" s="306">
        <f t="shared" ca="1" si="206"/>
        <v>1.0581538616116037</v>
      </c>
      <c r="W458" s="304">
        <f t="shared" ca="1" si="207"/>
        <v>28.210889567593544</v>
      </c>
      <c r="Y458" s="314" t="str">
        <f t="shared" ca="1" si="225"/>
        <v/>
      </c>
      <c r="Z458" s="315" t="str">
        <f t="shared" ca="1" si="226"/>
        <v/>
      </c>
      <c r="AA458" s="316" t="str">
        <f t="shared" ca="1" si="227"/>
        <v/>
      </c>
      <c r="AC458" s="310" t="e">
        <f t="shared" ca="1" si="228"/>
        <v>#N/A</v>
      </c>
      <c r="AD458" s="323" t="e">
        <f t="shared" ca="1" si="229"/>
        <v>#N/A</v>
      </c>
      <c r="AE458" s="324">
        <f t="shared" ca="1" si="208"/>
        <v>1461.5409078968084</v>
      </c>
      <c r="AG458" s="306">
        <f t="shared" ca="1" si="230"/>
        <v>-14.39650026538434</v>
      </c>
      <c r="AH458" s="304">
        <f t="shared" ca="1" si="231"/>
        <v>-4.7150498392311873</v>
      </c>
    </row>
    <row r="459" spans="1:34" x14ac:dyDescent="0.2">
      <c r="A459" s="347">
        <f t="shared" ca="1" si="209"/>
        <v>0.1</v>
      </c>
      <c r="B459" s="304">
        <f t="shared" ca="1" si="210"/>
        <v>9.4999999999999396</v>
      </c>
      <c r="D459" s="306">
        <f t="shared" ca="1" si="211"/>
        <v>-0.74662953852340241</v>
      </c>
      <c r="E459" s="307">
        <f t="shared" ca="1" si="212"/>
        <v>-14.334454295883448</v>
      </c>
      <c r="F459" s="304">
        <f t="shared" ca="1" si="213"/>
        <v>14.353885732740356</v>
      </c>
      <c r="G459" s="306">
        <f t="shared" ca="1" si="214"/>
        <v>17.324921903765347</v>
      </c>
      <c r="H459" s="307">
        <f t="shared" ca="1" si="215"/>
        <v>104.00522581736951</v>
      </c>
      <c r="I459" s="304">
        <f t="shared" ca="1" si="216"/>
        <v>105.43832280671764</v>
      </c>
      <c r="J459" s="306">
        <f t="shared" ca="1" si="217"/>
        <v>179.6523432621251</v>
      </c>
      <c r="K459" s="307">
        <f t="shared" ca="1" si="218"/>
        <v>1472.0131027500249</v>
      </c>
      <c r="L459" s="304">
        <f t="shared" ca="1" si="203"/>
        <v>1482.9354467094404</v>
      </c>
      <c r="M459" s="306">
        <f t="shared" ca="1" si="219"/>
        <v>1.4057344878453342</v>
      </c>
      <c r="N459" s="304">
        <f t="shared" ca="1" si="220"/>
        <v>80.542653269521963</v>
      </c>
      <c r="P459" s="310">
        <f t="shared" ca="1" si="221"/>
        <v>23</v>
      </c>
      <c r="Q459" s="304">
        <f t="shared" ca="1" si="222"/>
        <v>0</v>
      </c>
      <c r="R459" s="306">
        <f t="shared" ca="1" si="223"/>
        <v>0</v>
      </c>
      <c r="S459" s="307">
        <f t="shared" ca="1" si="224"/>
        <v>6.1519999999999921</v>
      </c>
      <c r="T459" s="304">
        <f t="shared" ca="1" si="204"/>
        <v>60.351119999999923</v>
      </c>
      <c r="U459" s="311">
        <f t="shared" ca="1" si="205"/>
        <v>0</v>
      </c>
      <c r="V459" s="306">
        <f t="shared" ca="1" si="206"/>
        <v>1.0570403362051011</v>
      </c>
      <c r="W459" s="304">
        <f t="shared" ca="1" si="207"/>
        <v>27.433937964927665</v>
      </c>
      <c r="Y459" s="314" t="str">
        <f t="shared" ca="1" si="225"/>
        <v/>
      </c>
      <c r="Z459" s="315" t="str">
        <f t="shared" ca="1" si="226"/>
        <v/>
      </c>
      <c r="AA459" s="316" t="str">
        <f t="shared" ca="1" si="227"/>
        <v/>
      </c>
      <c r="AC459" s="310" t="e">
        <f t="shared" ca="1" si="228"/>
        <v>#N/A</v>
      </c>
      <c r="AD459" s="323" t="e">
        <f t="shared" ca="1" si="229"/>
        <v>#N/A</v>
      </c>
      <c r="AE459" s="324">
        <f t="shared" ca="1" si="208"/>
        <v>1472.0131027500249</v>
      </c>
      <c r="AG459" s="306">
        <f t="shared" ca="1" si="230"/>
        <v>-14.264740389606025</v>
      </c>
      <c r="AH459" s="304">
        <f t="shared" ca="1" si="231"/>
        <v>-4.5856452483084489</v>
      </c>
    </row>
    <row r="460" spans="1:34" x14ac:dyDescent="0.2">
      <c r="A460" s="347">
        <f t="shared" ca="1" si="209"/>
        <v>0.1</v>
      </c>
      <c r="B460" s="304">
        <f t="shared" ca="1" si="210"/>
        <v>9.5999999999999392</v>
      </c>
      <c r="D460" s="306">
        <f t="shared" ca="1" si="211"/>
        <v>-0.7327310947997675</v>
      </c>
      <c r="E460" s="307">
        <f t="shared" ca="1" si="212"/>
        <v>-14.208742078109767</v>
      </c>
      <c r="F460" s="304">
        <f t="shared" ca="1" si="213"/>
        <v>14.227622651010025</v>
      </c>
      <c r="G460" s="306">
        <f t="shared" ca="1" si="214"/>
        <v>17.251648794285369</v>
      </c>
      <c r="H460" s="307">
        <f t="shared" ca="1" si="215"/>
        <v>102.58435160955852</v>
      </c>
      <c r="I460" s="304">
        <f t="shared" ca="1" si="216"/>
        <v>104.0248459805392</v>
      </c>
      <c r="J460" s="306">
        <f t="shared" ca="1" si="217"/>
        <v>181.38117179702763</v>
      </c>
      <c r="K460" s="307">
        <f t="shared" ca="1" si="218"/>
        <v>1482.3425816213714</v>
      </c>
      <c r="L460" s="304">
        <f t="shared" ca="1" si="203"/>
        <v>1493.3983590356511</v>
      </c>
      <c r="M460" s="306">
        <f t="shared" ca="1" si="219"/>
        <v>1.4041849403360569</v>
      </c>
      <c r="N460" s="304">
        <f t="shared" ca="1" si="220"/>
        <v>80.453870737085367</v>
      </c>
      <c r="P460" s="310">
        <f t="shared" ca="1" si="221"/>
        <v>23</v>
      </c>
      <c r="Q460" s="304">
        <f t="shared" ca="1" si="222"/>
        <v>0</v>
      </c>
      <c r="R460" s="306">
        <f t="shared" ca="1" si="223"/>
        <v>0</v>
      </c>
      <c r="S460" s="307">
        <f t="shared" ca="1" si="224"/>
        <v>6.1519999999999921</v>
      </c>
      <c r="T460" s="304">
        <f t="shared" ca="1" si="204"/>
        <v>60.351119999999923</v>
      </c>
      <c r="U460" s="311">
        <f t="shared" ca="1" si="205"/>
        <v>0</v>
      </c>
      <c r="V460" s="306">
        <f t="shared" ca="1" si="206"/>
        <v>1.0559430495685609</v>
      </c>
      <c r="W460" s="304">
        <f t="shared" ca="1" si="207"/>
        <v>26.67560468733452</v>
      </c>
      <c r="Y460" s="314" t="str">
        <f t="shared" ca="1" si="225"/>
        <v/>
      </c>
      <c r="Z460" s="315" t="str">
        <f t="shared" ca="1" si="226"/>
        <v/>
      </c>
      <c r="AA460" s="316" t="str">
        <f t="shared" ca="1" si="227"/>
        <v/>
      </c>
      <c r="AC460" s="310" t="e">
        <f t="shared" ca="1" si="228"/>
        <v>#N/A</v>
      </c>
      <c r="AD460" s="323" t="e">
        <f t="shared" ca="1" si="229"/>
        <v>#N/A</v>
      </c>
      <c r="AE460" s="324">
        <f t="shared" ca="1" si="208"/>
        <v>1482.3425816213714</v>
      </c>
      <c r="AG460" s="306">
        <f t="shared" ca="1" si="230"/>
        <v>-14.13601713051407</v>
      </c>
      <c r="AH460" s="304">
        <f t="shared" ca="1" si="231"/>
        <v>-4.4593527251182872</v>
      </c>
    </row>
    <row r="461" spans="1:34" x14ac:dyDescent="0.2">
      <c r="A461" s="347">
        <f t="shared" ca="1" si="209"/>
        <v>0.1</v>
      </c>
      <c r="B461" s="304">
        <f t="shared" ca="1" si="210"/>
        <v>9.6999999999999389</v>
      </c>
      <c r="D461" s="306">
        <f t="shared" ca="1" si="211"/>
        <v>-0.71910361651539334</v>
      </c>
      <c r="E461" s="307">
        <f t="shared" ca="1" si="212"/>
        <v>-14.086042198630674</v>
      </c>
      <c r="F461" s="304">
        <f t="shared" ca="1" si="213"/>
        <v>14.104385659534753</v>
      </c>
      <c r="G461" s="306">
        <f t="shared" ca="1" si="214"/>
        <v>17.17973843263383</v>
      </c>
      <c r="H461" s="307">
        <f t="shared" ca="1" si="215"/>
        <v>101.17574738969546</v>
      </c>
      <c r="I461" s="304">
        <f t="shared" ca="1" si="216"/>
        <v>102.62395077406241</v>
      </c>
      <c r="J461" s="306">
        <f t="shared" ca="1" si="217"/>
        <v>183.10274115837359</v>
      </c>
      <c r="K461" s="307">
        <f t="shared" ca="1" si="218"/>
        <v>1492.5305865713342</v>
      </c>
      <c r="L461" s="304">
        <f t="shared" ca="1" si="203"/>
        <v>1503.7201088203487</v>
      </c>
      <c r="M461" s="306">
        <f t="shared" ca="1" si="219"/>
        <v>1.4025996311133133</v>
      </c>
      <c r="N461" s="304">
        <f t="shared" ca="1" si="220"/>
        <v>80.363039209399005</v>
      </c>
      <c r="P461" s="310">
        <f t="shared" ca="1" si="221"/>
        <v>23</v>
      </c>
      <c r="Q461" s="304">
        <f t="shared" ca="1" si="222"/>
        <v>0</v>
      </c>
      <c r="R461" s="306">
        <f t="shared" ca="1" si="223"/>
        <v>0</v>
      </c>
      <c r="S461" s="307">
        <f t="shared" ca="1" si="224"/>
        <v>6.1519999999999921</v>
      </c>
      <c r="T461" s="304">
        <f t="shared" ca="1" si="204"/>
        <v>60.351119999999923</v>
      </c>
      <c r="U461" s="311">
        <f t="shared" ca="1" si="205"/>
        <v>0</v>
      </c>
      <c r="V461" s="306">
        <f t="shared" ca="1" si="206"/>
        <v>1.0548618246757553</v>
      </c>
      <c r="W461" s="304">
        <f t="shared" ca="1" si="207"/>
        <v>25.935382023848103</v>
      </c>
      <c r="Y461" s="314" t="str">
        <f t="shared" ca="1" si="225"/>
        <v/>
      </c>
      <c r="Z461" s="315" t="str">
        <f t="shared" ca="1" si="226"/>
        <v/>
      </c>
      <c r="AA461" s="316" t="str">
        <f t="shared" ca="1" si="227"/>
        <v/>
      </c>
      <c r="AC461" s="310" t="e">
        <f t="shared" ca="1" si="228"/>
        <v>#N/A</v>
      </c>
      <c r="AD461" s="323" t="e">
        <f t="shared" ca="1" si="229"/>
        <v>#N/A</v>
      </c>
      <c r="AE461" s="324">
        <f t="shared" ca="1" si="208"/>
        <v>1492.5305865713342</v>
      </c>
      <c r="AG461" s="306">
        <f t="shared" ca="1" si="230"/>
        <v>-14.010241639799037</v>
      </c>
      <c r="AH461" s="304">
        <f t="shared" ca="1" si="231"/>
        <v>-4.3360865876681656</v>
      </c>
    </row>
    <row r="462" spans="1:34" x14ac:dyDescent="0.2">
      <c r="A462" s="347">
        <f t="shared" ca="1" si="209"/>
        <v>0.1</v>
      </c>
      <c r="B462" s="304">
        <f t="shared" ca="1" si="210"/>
        <v>9.7999999999999385</v>
      </c>
      <c r="D462" s="306">
        <f t="shared" ca="1" si="211"/>
        <v>-0.70573903617693334</v>
      </c>
      <c r="E462" s="307">
        <f t="shared" ca="1" si="212"/>
        <v>-13.96627250247591</v>
      </c>
      <c r="F462" s="304">
        <f t="shared" ca="1" si="213"/>
        <v>13.984092219396963</v>
      </c>
      <c r="G462" s="306">
        <f t="shared" ca="1" si="214"/>
        <v>17.109164529016137</v>
      </c>
      <c r="H462" s="307">
        <f t="shared" ca="1" si="215"/>
        <v>99.779120139447869</v>
      </c>
      <c r="I462" s="304">
        <f t="shared" ca="1" si="216"/>
        <v>101.23535117084009</v>
      </c>
      <c r="J462" s="306">
        <f t="shared" ca="1" si="217"/>
        <v>184.81718630645608</v>
      </c>
      <c r="K462" s="307">
        <f t="shared" ca="1" si="218"/>
        <v>1502.5783299477914</v>
      </c>
      <c r="L462" s="304">
        <f t="shared" ca="1" si="203"/>
        <v>1513.901922180869</v>
      </c>
      <c r="M462" s="306">
        <f t="shared" ca="1" si="219"/>
        <v>1.4009774295279862</v>
      </c>
      <c r="N462" s="304">
        <f t="shared" ca="1" si="220"/>
        <v>80.270093905040326</v>
      </c>
      <c r="P462" s="310">
        <f t="shared" ca="1" si="221"/>
        <v>23</v>
      </c>
      <c r="Q462" s="304">
        <f t="shared" ca="1" si="222"/>
        <v>0</v>
      </c>
      <c r="R462" s="306">
        <f t="shared" ca="1" si="223"/>
        <v>0</v>
      </c>
      <c r="S462" s="307">
        <f t="shared" ca="1" si="224"/>
        <v>6.1519999999999921</v>
      </c>
      <c r="T462" s="304">
        <f t="shared" ca="1" si="204"/>
        <v>60.351119999999923</v>
      </c>
      <c r="U462" s="311">
        <f t="shared" ca="1" si="205"/>
        <v>0</v>
      </c>
      <c r="V462" s="306">
        <f t="shared" ca="1" si="206"/>
        <v>1.0537964888729219</v>
      </c>
      <c r="W462" s="304">
        <f t="shared" ca="1" si="207"/>
        <v>25.212780835421754</v>
      </c>
      <c r="Y462" s="314" t="str">
        <f t="shared" ca="1" si="225"/>
        <v/>
      </c>
      <c r="Z462" s="315" t="str">
        <f t="shared" ca="1" si="226"/>
        <v/>
      </c>
      <c r="AA462" s="316" t="str">
        <f t="shared" ca="1" si="227"/>
        <v/>
      </c>
      <c r="AC462" s="310" t="e">
        <f t="shared" ca="1" si="228"/>
        <v>#N/A</v>
      </c>
      <c r="AD462" s="323" t="e">
        <f t="shared" ca="1" si="229"/>
        <v>#N/A</v>
      </c>
      <c r="AE462" s="324">
        <f t="shared" ca="1" si="208"/>
        <v>1502.5783299477914</v>
      </c>
      <c r="AG462" s="306">
        <f t="shared" ca="1" si="230"/>
        <v>-13.887328055290334</v>
      </c>
      <c r="AH462" s="304">
        <f t="shared" ca="1" si="231"/>
        <v>-4.2157643081677723</v>
      </c>
    </row>
    <row r="463" spans="1:34" x14ac:dyDescent="0.2">
      <c r="A463" s="347">
        <f t="shared" ca="1" si="209"/>
        <v>0.1</v>
      </c>
      <c r="B463" s="304">
        <f t="shared" ca="1" si="210"/>
        <v>9.8999999999999382</v>
      </c>
      <c r="D463" s="306">
        <f t="shared" ca="1" si="211"/>
        <v>-0.6926295735126361</v>
      </c>
      <c r="E463" s="307">
        <f t="shared" ca="1" si="212"/>
        <v>-13.849353839309067</v>
      </c>
      <c r="F463" s="304">
        <f t="shared" ca="1" si="213"/>
        <v>13.866662810225433</v>
      </c>
      <c r="G463" s="306">
        <f t="shared" ca="1" si="214"/>
        <v>17.039901571664874</v>
      </c>
      <c r="H463" s="307">
        <f t="shared" ca="1" si="215"/>
        <v>98.39418475551696</v>
      </c>
      <c r="I463" s="304">
        <f t="shared" ca="1" si="216"/>
        <v>99.858769466055577</v>
      </c>
      <c r="J463" s="306">
        <f t="shared" ca="1" si="217"/>
        <v>186.52463961149013</v>
      </c>
      <c r="K463" s="307">
        <f t="shared" ca="1" si="218"/>
        <v>1512.4869951925396</v>
      </c>
      <c r="L463" s="304">
        <f t="shared" ca="1" si="203"/>
        <v>1523.9449963199963</v>
      </c>
      <c r="M463" s="306">
        <f t="shared" ca="1" si="219"/>
        <v>1.3993171561436508</v>
      </c>
      <c r="N463" s="304">
        <f t="shared" ca="1" si="220"/>
        <v>80.174967247280009</v>
      </c>
      <c r="P463" s="310">
        <f t="shared" ca="1" si="221"/>
        <v>23</v>
      </c>
      <c r="Q463" s="304">
        <f t="shared" ca="1" si="222"/>
        <v>0</v>
      </c>
      <c r="R463" s="306">
        <f t="shared" ca="1" si="223"/>
        <v>0</v>
      </c>
      <c r="S463" s="307">
        <f t="shared" ca="1" si="224"/>
        <v>6.1519999999999921</v>
      </c>
      <c r="T463" s="304">
        <f t="shared" ca="1" si="204"/>
        <v>60.351119999999923</v>
      </c>
      <c r="U463" s="311">
        <f t="shared" ca="1" si="205"/>
        <v>0</v>
      </c>
      <c r="V463" s="306">
        <f t="shared" ca="1" si="206"/>
        <v>1.0527468737552372</v>
      </c>
      <c r="W463" s="304">
        <f t="shared" ca="1" si="207"/>
        <v>24.507329764249146</v>
      </c>
      <c r="Y463" s="314" t="str">
        <f t="shared" ca="1" si="225"/>
        <v/>
      </c>
      <c r="Z463" s="315" t="str">
        <f t="shared" ca="1" si="226"/>
        <v/>
      </c>
      <c r="AA463" s="316" t="str">
        <f t="shared" ca="1" si="227"/>
        <v/>
      </c>
      <c r="AC463" s="310" t="e">
        <f t="shared" ca="1" si="228"/>
        <v>#N/A</v>
      </c>
      <c r="AD463" s="323" t="e">
        <f t="shared" ca="1" si="229"/>
        <v>#N/A</v>
      </c>
      <c r="AE463" s="324">
        <f t="shared" ca="1" si="208"/>
        <v>1512.4869951925396</v>
      </c>
      <c r="AG463" s="306">
        <f t="shared" ca="1" si="230"/>
        <v>-13.767193354869132</v>
      </c>
      <c r="AH463" s="304">
        <f t="shared" ca="1" si="231"/>
        <v>-4.0983063776693411</v>
      </c>
    </row>
    <row r="464" spans="1:34" x14ac:dyDescent="0.2">
      <c r="A464" s="347">
        <f t="shared" ca="1" si="209"/>
        <v>0.1</v>
      </c>
      <c r="B464" s="304">
        <f t="shared" ca="1" si="210"/>
        <v>9.9999999999999378</v>
      </c>
      <c r="D464" s="306">
        <f t="shared" ca="1" si="211"/>
        <v>-0.67976772321176226</v>
      </c>
      <c r="E464" s="307">
        <f t="shared" ca="1" si="212"/>
        <v>-13.735209935470321</v>
      </c>
      <c r="F464" s="304">
        <f t="shared" ca="1" si="213"/>
        <v>13.75202080164814</v>
      </c>
      <c r="G464" s="306">
        <f t="shared" ca="1" si="214"/>
        <v>16.971924799343697</v>
      </c>
      <c r="H464" s="307">
        <f t="shared" ca="1" si="215"/>
        <v>97.020663761969928</v>
      </c>
      <c r="I464" s="304">
        <f t="shared" ca="1" si="216"/>
        <v>98.493935997135395</v>
      </c>
      <c r="J464" s="306">
        <f t="shared" ca="1" si="217"/>
        <v>188.22523093004057</v>
      </c>
      <c r="K464" s="307">
        <f t="shared" ca="1" si="218"/>
        <v>1522.257737618414</v>
      </c>
      <c r="L464" s="304">
        <f t="shared" ca="1" si="203"/>
        <v>1533.8505003088792</v>
      </c>
      <c r="M464" s="306">
        <f t="shared" ca="1" si="219"/>
        <v>1.3976175801221191</v>
      </c>
      <c r="N464" s="304">
        <f t="shared" ca="1" si="220"/>
        <v>80.077588714284602</v>
      </c>
      <c r="P464" s="310">
        <f t="shared" ca="1" si="221"/>
        <v>23</v>
      </c>
      <c r="Q464" s="304">
        <f t="shared" ca="1" si="222"/>
        <v>0</v>
      </c>
      <c r="R464" s="306">
        <f t="shared" ca="1" si="223"/>
        <v>0</v>
      </c>
      <c r="S464" s="307">
        <f t="shared" ca="1" si="224"/>
        <v>6.1519999999999921</v>
      </c>
      <c r="T464" s="304">
        <f t="shared" ca="1" si="204"/>
        <v>60.351119999999923</v>
      </c>
      <c r="U464" s="311">
        <f t="shared" ca="1" si="205"/>
        <v>0</v>
      </c>
      <c r="V464" s="306">
        <f t="shared" ca="1" si="206"/>
        <v>1.0517128150479156</v>
      </c>
      <c r="W464" s="304">
        <f t="shared" ca="1" si="207"/>
        <v>23.818574482733489</v>
      </c>
      <c r="Y464" s="314" t="str">
        <f t="shared" ca="1" si="225"/>
        <v/>
      </c>
      <c r="Z464" s="315" t="str">
        <f t="shared" ca="1" si="226"/>
        <v/>
      </c>
      <c r="AA464" s="316" t="str">
        <f t="shared" ca="1" si="227"/>
        <v/>
      </c>
      <c r="AC464" s="310">
        <f t="shared" ca="1" si="228"/>
        <v>9.9999999999999378</v>
      </c>
      <c r="AD464" s="323">
        <f t="shared" ca="1" si="229"/>
        <v>188.22523093004057</v>
      </c>
      <c r="AE464" s="324">
        <f t="shared" ca="1" si="208"/>
        <v>1522.257737618414</v>
      </c>
      <c r="AG464" s="306">
        <f t="shared" ca="1" si="230"/>
        <v>-13.64975721641488</v>
      </c>
      <c r="AH464" s="304">
        <f t="shared" ca="1" si="231"/>
        <v>-3.9836361775437545</v>
      </c>
    </row>
    <row r="465" spans="1:34" x14ac:dyDescent="0.2">
      <c r="A465" s="347">
        <f t="shared" ca="1" si="209"/>
        <v>0.1</v>
      </c>
      <c r="B465" s="304">
        <f t="shared" ca="1" si="210"/>
        <v>10.099999999999937</v>
      </c>
      <c r="D465" s="306">
        <f t="shared" ca="1" si="211"/>
        <v>-0.66714624328610106</v>
      </c>
      <c r="E465" s="307">
        <f t="shared" ca="1" si="212"/>
        <v>-13.623767272432485</v>
      </c>
      <c r="F465" s="304">
        <f t="shared" ca="1" si="213"/>
        <v>13.640092331187983</v>
      </c>
      <c r="G465" s="306">
        <f t="shared" ca="1" si="214"/>
        <v>16.905210175015085</v>
      </c>
      <c r="H465" s="307">
        <f t="shared" ca="1" si="215"/>
        <v>95.658287034726683</v>
      </c>
      <c r="I465" s="304">
        <f t="shared" ca="1" si="216"/>
        <v>97.140588887856723</v>
      </c>
      <c r="J465" s="306">
        <f t="shared" ca="1" si="217"/>
        <v>189.9190876787585</v>
      </c>
      <c r="K465" s="307">
        <f t="shared" ca="1" si="218"/>
        <v>1531.8916851582489</v>
      </c>
      <c r="L465" s="304">
        <f t="shared" ca="1" si="203"/>
        <v>1543.6195758417007</v>
      </c>
      <c r="M465" s="306">
        <f t="shared" ca="1" si="219"/>
        <v>1.3958774164403851</v>
      </c>
      <c r="N465" s="304">
        <f t="shared" ca="1" si="220"/>
        <v>79.977884679659297</v>
      </c>
      <c r="P465" s="310">
        <f t="shared" ca="1" si="221"/>
        <v>23</v>
      </c>
      <c r="Q465" s="304">
        <f t="shared" ca="1" si="222"/>
        <v>0</v>
      </c>
      <c r="R465" s="306">
        <f t="shared" ca="1" si="223"/>
        <v>0</v>
      </c>
      <c r="S465" s="307">
        <f t="shared" ca="1" si="224"/>
        <v>6.1519999999999921</v>
      </c>
      <c r="T465" s="304">
        <f t="shared" ca="1" si="204"/>
        <v>60.351119999999923</v>
      </c>
      <c r="U465" s="311">
        <f t="shared" ca="1" si="205"/>
        <v>0</v>
      </c>
      <c r="V465" s="306">
        <f t="shared" ca="1" si="206"/>
        <v>1.0506941524917335</v>
      </c>
      <c r="W465" s="304">
        <f t="shared" ca="1" si="207"/>
        <v>23.146076979854396</v>
      </c>
      <c r="Y465" s="314" t="str">
        <f t="shared" ca="1" si="225"/>
        <v/>
      </c>
      <c r="Z465" s="315" t="str">
        <f t="shared" ca="1" si="226"/>
        <v/>
      </c>
      <c r="AA465" s="316" t="str">
        <f t="shared" ca="1" si="227"/>
        <v/>
      </c>
      <c r="AC465" s="310" t="e">
        <f t="shared" ca="1" si="228"/>
        <v>#N/A</v>
      </c>
      <c r="AD465" s="323" t="e">
        <f t="shared" ca="1" si="229"/>
        <v>#N/A</v>
      </c>
      <c r="AE465" s="324">
        <f t="shared" ca="1" si="208"/>
        <v>1531.8916851582489</v>
      </c>
      <c r="AG465" s="306">
        <f t="shared" ca="1" si="230"/>
        <v>-13.534941883325597</v>
      </c>
      <c r="AH465" s="304">
        <f t="shared" ca="1" si="231"/>
        <v>-3.8716798574014173</v>
      </c>
    </row>
    <row r="466" spans="1:34" x14ac:dyDescent="0.2">
      <c r="A466" s="347">
        <f t="shared" ca="1" si="209"/>
        <v>0.1</v>
      </c>
      <c r="B466" s="304">
        <f t="shared" ca="1" si="210"/>
        <v>10.199999999999937</v>
      </c>
      <c r="D466" s="306">
        <f t="shared" ca="1" si="211"/>
        <v>-0.65475814401902621</v>
      </c>
      <c r="E466" s="307">
        <f t="shared" ca="1" si="212"/>
        <v>-13.514954971306121</v>
      </c>
      <c r="F466" s="304">
        <f t="shared" ca="1" si="213"/>
        <v>13.53080618823547</v>
      </c>
      <c r="G466" s="306">
        <f t="shared" ca="1" si="214"/>
        <v>16.839734360613182</v>
      </c>
      <c r="H466" s="307">
        <f t="shared" ca="1" si="215"/>
        <v>94.306791537596069</v>
      </c>
      <c r="I466" s="304">
        <f t="shared" ca="1" si="216"/>
        <v>95.798473805440224</v>
      </c>
      <c r="J466" s="306">
        <f t="shared" ca="1" si="217"/>
        <v>191.60633490553991</v>
      </c>
      <c r="K466" s="307">
        <f t="shared" ca="1" si="218"/>
        <v>1541.3899390868651</v>
      </c>
      <c r="L466" s="304">
        <f t="shared" ca="1" si="203"/>
        <v>1553.2533379633032</v>
      </c>
      <c r="M466" s="306">
        <f t="shared" ca="1" si="219"/>
        <v>1.3940953229262993</v>
      </c>
      <c r="N466" s="304">
        <f t="shared" ca="1" si="220"/>
        <v>79.875778242604554</v>
      </c>
      <c r="P466" s="310">
        <f t="shared" ca="1" si="221"/>
        <v>23</v>
      </c>
      <c r="Q466" s="304">
        <f t="shared" ca="1" si="222"/>
        <v>0</v>
      </c>
      <c r="R466" s="306">
        <f t="shared" ca="1" si="223"/>
        <v>0</v>
      </c>
      <c r="S466" s="307">
        <f t="shared" ca="1" si="224"/>
        <v>6.1519999999999921</v>
      </c>
      <c r="T466" s="304">
        <f t="shared" ca="1" si="204"/>
        <v>60.351119999999923</v>
      </c>
      <c r="U466" s="311">
        <f t="shared" ca="1" si="205"/>
        <v>0</v>
      </c>
      <c r="V466" s="306">
        <f t="shared" ca="1" si="206"/>
        <v>1.0496907297327864</v>
      </c>
      <c r="W466" s="304">
        <f t="shared" ca="1" si="207"/>
        <v>22.489414882824441</v>
      </c>
      <c r="Y466" s="314" t="str">
        <f t="shared" ca="1" si="225"/>
        <v/>
      </c>
      <c r="Z466" s="315" t="str">
        <f t="shared" ca="1" si="226"/>
        <v/>
      </c>
      <c r="AA466" s="316" t="str">
        <f t="shared" ca="1" si="227"/>
        <v/>
      </c>
      <c r="AC466" s="310" t="e">
        <f t="shared" ca="1" si="228"/>
        <v>#N/A</v>
      </c>
      <c r="AD466" s="323" t="e">
        <f t="shared" ca="1" si="229"/>
        <v>#N/A</v>
      </c>
      <c r="AE466" s="324">
        <f t="shared" ca="1" si="208"/>
        <v>1541.3899390868651</v>
      </c>
      <c r="AG466" s="306">
        <f t="shared" ca="1" si="230"/>
        <v>-13.422672035170738</v>
      </c>
      <c r="AH466" s="304">
        <f t="shared" ca="1" si="231"/>
        <v>-3.7623662190920717</v>
      </c>
    </row>
    <row r="467" spans="1:34" x14ac:dyDescent="0.2">
      <c r="A467" s="347">
        <f t="shared" ca="1" si="209"/>
        <v>0.1</v>
      </c>
      <c r="B467" s="304">
        <f t="shared" ca="1" si="210"/>
        <v>10.299999999999937</v>
      </c>
      <c r="D467" s="306">
        <f t="shared" ca="1" si="211"/>
        <v>-0.64259667746981197</v>
      </c>
      <c r="E467" s="307">
        <f t="shared" ca="1" si="212"/>
        <v>-13.408704683052422</v>
      </c>
      <c r="F467" s="304">
        <f t="shared" ca="1" si="213"/>
        <v>13.424093703755469</v>
      </c>
      <c r="G467" s="306">
        <f t="shared" ca="1" si="214"/>
        <v>16.775474692866201</v>
      </c>
      <c r="H467" s="307">
        <f t="shared" ca="1" si="215"/>
        <v>92.965921069290829</v>
      </c>
      <c r="I467" s="304">
        <f t="shared" ca="1" si="216"/>
        <v>94.467343730162156</v>
      </c>
      <c r="J467" s="306">
        <f t="shared" ca="1" si="217"/>
        <v>193.28709535821389</v>
      </c>
      <c r="K467" s="307">
        <f t="shared" ca="1" si="218"/>
        <v>1550.7535747172094</v>
      </c>
      <c r="L467" s="304">
        <f t="shared" ca="1" si="203"/>
        <v>1562.7528757709003</v>
      </c>
      <c r="M467" s="306">
        <f t="shared" ca="1" si="219"/>
        <v>1.3922698970992198</v>
      </c>
      <c r="N467" s="304">
        <f t="shared" ca="1" si="220"/>
        <v>79.771189046898712</v>
      </c>
      <c r="P467" s="310">
        <f t="shared" ca="1" si="221"/>
        <v>23</v>
      </c>
      <c r="Q467" s="304">
        <f t="shared" ca="1" si="222"/>
        <v>0</v>
      </c>
      <c r="R467" s="306">
        <f t="shared" ca="1" si="223"/>
        <v>0</v>
      </c>
      <c r="S467" s="307">
        <f t="shared" ca="1" si="224"/>
        <v>6.1519999999999921</v>
      </c>
      <c r="T467" s="304">
        <f t="shared" ca="1" si="204"/>
        <v>60.351119999999923</v>
      </c>
      <c r="U467" s="311">
        <f t="shared" ca="1" si="205"/>
        <v>0</v>
      </c>
      <c r="V467" s="306">
        <f t="shared" ca="1" si="206"/>
        <v>1.0487023942163001</v>
      </c>
      <c r="W467" s="304">
        <f t="shared" ca="1" si="207"/>
        <v>21.848180812061635</v>
      </c>
      <c r="Y467" s="314" t="str">
        <f t="shared" ca="1" si="225"/>
        <v/>
      </c>
      <c r="Z467" s="315" t="str">
        <f t="shared" ca="1" si="226"/>
        <v/>
      </c>
      <c r="AA467" s="316" t="str">
        <f t="shared" ca="1" si="227"/>
        <v/>
      </c>
      <c r="AC467" s="310" t="e">
        <f t="shared" ca="1" si="228"/>
        <v>#N/A</v>
      </c>
      <c r="AD467" s="323" t="e">
        <f t="shared" ca="1" si="229"/>
        <v>#N/A</v>
      </c>
      <c r="AE467" s="324">
        <f t="shared" ca="1" si="208"/>
        <v>1550.7535747172094</v>
      </c>
      <c r="AG467" s="306">
        <f t="shared" ca="1" si="230"/>
        <v>-13.312874663051177</v>
      </c>
      <c r="AH467" s="304">
        <f t="shared" ca="1" si="231"/>
        <v>-3.6556266064409084</v>
      </c>
    </row>
    <row r="468" spans="1:34" x14ac:dyDescent="0.2">
      <c r="A468" s="347">
        <f t="shared" ca="1" si="209"/>
        <v>0.1</v>
      </c>
      <c r="B468" s="304">
        <f t="shared" ca="1" si="210"/>
        <v>10.399999999999936</v>
      </c>
      <c r="D468" s="306">
        <f t="shared" ca="1" si="211"/>
        <v>-0.63065532750305586</v>
      </c>
      <c r="E468" s="307">
        <f t="shared" ca="1" si="212"/>
        <v>-13.304950484084312</v>
      </c>
      <c r="F468" s="304">
        <f t="shared" ca="1" si="213"/>
        <v>13.319888645407039</v>
      </c>
      <c r="G468" s="306">
        <f t="shared" ca="1" si="214"/>
        <v>16.712409160115897</v>
      </c>
      <c r="H468" s="307">
        <f t="shared" ca="1" si="215"/>
        <v>91.635426020882392</v>
      </c>
      <c r="I468" s="304">
        <f t="shared" ca="1" si="216"/>
        <v>93.146958737060956</v>
      </c>
      <c r="J468" s="306">
        <f t="shared" ca="1" si="217"/>
        <v>194.96148955086301</v>
      </c>
      <c r="K468" s="307">
        <f t="shared" ca="1" si="218"/>
        <v>1559.9836420717181</v>
      </c>
      <c r="L468" s="304">
        <f t="shared" ca="1" si="203"/>
        <v>1572.1192530909459</v>
      </c>
      <c r="M468" s="306">
        <f t="shared" ca="1" si="219"/>
        <v>1.3903996728006922</v>
      </c>
      <c r="N468" s="304">
        <f t="shared" ca="1" si="220"/>
        <v>79.664033087850271</v>
      </c>
      <c r="P468" s="310">
        <f t="shared" ca="1" si="221"/>
        <v>23</v>
      </c>
      <c r="Q468" s="304">
        <f t="shared" ca="1" si="222"/>
        <v>0</v>
      </c>
      <c r="R468" s="306">
        <f t="shared" ca="1" si="223"/>
        <v>0</v>
      </c>
      <c r="S468" s="307">
        <f t="shared" ca="1" si="224"/>
        <v>6.1519999999999921</v>
      </c>
      <c r="T468" s="304">
        <f t="shared" ca="1" si="204"/>
        <v>60.351119999999923</v>
      </c>
      <c r="U468" s="311">
        <f t="shared" ca="1" si="205"/>
        <v>0</v>
      </c>
      <c r="V468" s="306">
        <f t="shared" ca="1" si="206"/>
        <v>1.04772899708432</v>
      </c>
      <c r="W468" s="304">
        <f t="shared" ca="1" si="207"/>
        <v>21.221981767627298</v>
      </c>
      <c r="Y468" s="314" t="str">
        <f t="shared" ca="1" si="225"/>
        <v/>
      </c>
      <c r="Z468" s="315" t="str">
        <f t="shared" ca="1" si="226"/>
        <v/>
      </c>
      <c r="AA468" s="316" t="str">
        <f t="shared" ca="1" si="227"/>
        <v/>
      </c>
      <c r="AC468" s="310" t="e">
        <f t="shared" ca="1" si="228"/>
        <v>#N/A</v>
      </c>
      <c r="AD468" s="323" t="e">
        <f t="shared" ca="1" si="229"/>
        <v>#N/A</v>
      </c>
      <c r="AE468" s="324">
        <f t="shared" ca="1" si="208"/>
        <v>1559.9836420717181</v>
      </c>
      <c r="AG468" s="306">
        <f t="shared" ca="1" si="230"/>
        <v>-13.205478949254587</v>
      </c>
      <c r="AH468" s="304">
        <f t="shared" ca="1" si="231"/>
        <v>-3.5513948004001401</v>
      </c>
    </row>
    <row r="469" spans="1:34" x14ac:dyDescent="0.2">
      <c r="A469" s="347">
        <f t="shared" ca="1" si="209"/>
        <v>0.1</v>
      </c>
      <c r="B469" s="304">
        <f t="shared" ca="1" si="210"/>
        <v>10.499999999999936</v>
      </c>
      <c r="D469" s="306">
        <f t="shared" ca="1" si="211"/>
        <v>-0.61892780031502048</v>
      </c>
      <c r="E469" s="307">
        <f t="shared" ca="1" si="212"/>
        <v>-13.20362877695613</v>
      </c>
      <c r="F469" s="304">
        <f t="shared" ca="1" si="213"/>
        <v>13.218127117775301</v>
      </c>
      <c r="G469" s="306">
        <f t="shared" ca="1" si="214"/>
        <v>16.650516380084394</v>
      </c>
      <c r="H469" s="307">
        <f t="shared" ca="1" si="215"/>
        <v>90.315063143186777</v>
      </c>
      <c r="I469" s="304">
        <f t="shared" ca="1" si="216"/>
        <v>91.837085789354589</v>
      </c>
      <c r="J469" s="306">
        <f t="shared" ca="1" si="217"/>
        <v>196.62963582787302</v>
      </c>
      <c r="K469" s="307">
        <f t="shared" ca="1" si="218"/>
        <v>1569.0811665299216</v>
      </c>
      <c r="L469" s="304">
        <f t="shared" ca="1" si="203"/>
        <v>1581.3535091321933</v>
      </c>
      <c r="M469" s="306">
        <f t="shared" ca="1" si="219"/>
        <v>1.388483116598908</v>
      </c>
      <c r="N469" s="304">
        <f t="shared" ca="1" si="220"/>
        <v>79.554222506288411</v>
      </c>
      <c r="P469" s="310">
        <f t="shared" ca="1" si="221"/>
        <v>23</v>
      </c>
      <c r="Q469" s="304">
        <f t="shared" ca="1" si="222"/>
        <v>0</v>
      </c>
      <c r="R469" s="306">
        <f t="shared" ca="1" si="223"/>
        <v>0</v>
      </c>
      <c r="S469" s="307">
        <f t="shared" ca="1" si="224"/>
        <v>6.1519999999999921</v>
      </c>
      <c r="T469" s="304">
        <f t="shared" ca="1" si="204"/>
        <v>60.351119999999923</v>
      </c>
      <c r="U469" s="311">
        <f t="shared" ca="1" si="205"/>
        <v>0</v>
      </c>
      <c r="V469" s="306">
        <f t="shared" ca="1" si="206"/>
        <v>1.0467703930771206</v>
      </c>
      <c r="W469" s="304">
        <f t="shared" ca="1" si="207"/>
        <v>20.610438545394924</v>
      </c>
      <c r="Y469" s="314" t="str">
        <f t="shared" ca="1" si="225"/>
        <v/>
      </c>
      <c r="Z469" s="315" t="str">
        <f t="shared" ca="1" si="226"/>
        <v/>
      </c>
      <c r="AA469" s="316" t="str">
        <f t="shared" ca="1" si="227"/>
        <v/>
      </c>
      <c r="AC469" s="310" t="e">
        <f t="shared" ca="1" si="228"/>
        <v>#N/A</v>
      </c>
      <c r="AD469" s="323" t="e">
        <f t="shared" ca="1" si="229"/>
        <v>#N/A</v>
      </c>
      <c r="AE469" s="324">
        <f t="shared" ca="1" si="208"/>
        <v>1569.0811665299216</v>
      </c>
      <c r="AG469" s="306">
        <f t="shared" ca="1" si="230"/>
        <v>-13.100416150805346</v>
      </c>
      <c r="AH469" s="304">
        <f t="shared" ca="1" si="231"/>
        <v>-3.4496069193152348</v>
      </c>
    </row>
    <row r="470" spans="1:34" x14ac:dyDescent="0.2">
      <c r="A470" s="347">
        <f t="shared" ca="1" si="209"/>
        <v>0.1</v>
      </c>
      <c r="B470" s="304">
        <f t="shared" ca="1" si="210"/>
        <v>10.599999999999936</v>
      </c>
      <c r="D470" s="306">
        <f t="shared" ca="1" si="211"/>
        <v>-0.60740801543058365</v>
      </c>
      <c r="E470" s="307">
        <f t="shared" ca="1" si="212"/>
        <v>-13.104678195861029</v>
      </c>
      <c r="F470" s="304">
        <f t="shared" ca="1" si="213"/>
        <v>13.118747467433192</v>
      </c>
      <c r="G470" s="306">
        <f t="shared" ca="1" si="214"/>
        <v>16.589775578541335</v>
      </c>
      <c r="H470" s="307">
        <f t="shared" ca="1" si="215"/>
        <v>89.004595323600668</v>
      </c>
      <c r="I470" s="304">
        <f t="shared" ca="1" si="216"/>
        <v>90.537498543223975</v>
      </c>
      <c r="J470" s="306">
        <f t="shared" ca="1" si="217"/>
        <v>198.29165042580431</v>
      </c>
      <c r="K470" s="307">
        <f t="shared" ca="1" si="218"/>
        <v>1578.047149453261</v>
      </c>
      <c r="L470" s="304">
        <f t="shared" ca="1" si="203"/>
        <v>1590.4566591159132</v>
      </c>
      <c r="M470" s="306">
        <f t="shared" ca="1" si="219"/>
        <v>1.3865186239492526</v>
      </c>
      <c r="N470" s="304">
        <f t="shared" ca="1" si="220"/>
        <v>79.441665368578683</v>
      </c>
      <c r="P470" s="310">
        <f t="shared" ca="1" si="221"/>
        <v>23</v>
      </c>
      <c r="Q470" s="304">
        <f t="shared" ca="1" si="222"/>
        <v>0</v>
      </c>
      <c r="R470" s="306">
        <f t="shared" ca="1" si="223"/>
        <v>0</v>
      </c>
      <c r="S470" s="307">
        <f t="shared" ca="1" si="224"/>
        <v>6.1519999999999921</v>
      </c>
      <c r="T470" s="304">
        <f t="shared" ca="1" si="204"/>
        <v>60.351119999999923</v>
      </c>
      <c r="U470" s="311">
        <f t="shared" ca="1" si="205"/>
        <v>0</v>
      </c>
      <c r="V470" s="306">
        <f t="shared" ca="1" si="206"/>
        <v>1.0458264404381723</v>
      </c>
      <c r="W470" s="304">
        <f t="shared" ca="1" si="207"/>
        <v>20.01318518132236</v>
      </c>
      <c r="Y470" s="314" t="str">
        <f t="shared" ca="1" si="225"/>
        <v/>
      </c>
      <c r="Z470" s="315" t="str">
        <f t="shared" ca="1" si="226"/>
        <v/>
      </c>
      <c r="AA470" s="316" t="str">
        <f t="shared" ca="1" si="227"/>
        <v/>
      </c>
      <c r="AC470" s="310" t="e">
        <f t="shared" ca="1" si="228"/>
        <v>#N/A</v>
      </c>
      <c r="AD470" s="323" t="e">
        <f t="shared" ca="1" si="229"/>
        <v>#N/A</v>
      </c>
      <c r="AE470" s="324">
        <f t="shared" ca="1" si="208"/>
        <v>1578.047149453261</v>
      </c>
      <c r="AG470" s="306">
        <f t="shared" ca="1" si="230"/>
        <v>-12.997619486517051</v>
      </c>
      <c r="AH470" s="304">
        <f t="shared" ca="1" si="231"/>
        <v>-3.3502013240238866</v>
      </c>
    </row>
    <row r="471" spans="1:34" x14ac:dyDescent="0.2">
      <c r="A471" s="347">
        <f t="shared" ca="1" si="209"/>
        <v>0.1</v>
      </c>
      <c r="B471" s="304">
        <f t="shared" ca="1" si="210"/>
        <v>10.699999999999935</v>
      </c>
      <c r="D471" s="306">
        <f t="shared" ca="1" si="211"/>
        <v>-0.59609009714619454</v>
      </c>
      <c r="E471" s="307">
        <f t="shared" ca="1" si="212"/>
        <v>-13.008039516672456</v>
      </c>
      <c r="F471" s="304">
        <f t="shared" ca="1" si="213"/>
        <v>13.021690192568242</v>
      </c>
      <c r="G471" s="306">
        <f t="shared" ca="1" si="214"/>
        <v>16.530166568826715</v>
      </c>
      <c r="H471" s="307">
        <f t="shared" ca="1" si="215"/>
        <v>87.70379137193342</v>
      </c>
      <c r="I471" s="304">
        <f t="shared" ca="1" si="216"/>
        <v>89.247977163657765</v>
      </c>
      <c r="J471" s="306">
        <f t="shared" ca="1" si="217"/>
        <v>199.9476475331727</v>
      </c>
      <c r="K471" s="307">
        <f t="shared" ca="1" si="218"/>
        <v>1586.8825687880378</v>
      </c>
      <c r="L471" s="304">
        <f t="shared" ca="1" si="203"/>
        <v>1599.429694884202</v>
      </c>
      <c r="M471" s="306">
        <f t="shared" ca="1" si="219"/>
        <v>1.3845045150916842</v>
      </c>
      <c r="N471" s="304">
        <f t="shared" ca="1" si="220"/>
        <v>79.326265431560088</v>
      </c>
      <c r="P471" s="310">
        <f t="shared" ca="1" si="221"/>
        <v>23</v>
      </c>
      <c r="Q471" s="304">
        <f t="shared" ca="1" si="222"/>
        <v>0</v>
      </c>
      <c r="R471" s="306">
        <f t="shared" ca="1" si="223"/>
        <v>0</v>
      </c>
      <c r="S471" s="307">
        <f t="shared" ca="1" si="224"/>
        <v>6.1519999999999921</v>
      </c>
      <c r="T471" s="304">
        <f t="shared" ca="1" si="204"/>
        <v>60.351119999999923</v>
      </c>
      <c r="U471" s="311">
        <f t="shared" ca="1" si="205"/>
        <v>0</v>
      </c>
      <c r="V471" s="306">
        <f t="shared" ca="1" si="206"/>
        <v>1.0448970008225245</v>
      </c>
      <c r="W471" s="304">
        <f t="shared" ca="1" si="207"/>
        <v>19.429868422300522</v>
      </c>
      <c r="Y471" s="314" t="str">
        <f t="shared" ca="1" si="225"/>
        <v/>
      </c>
      <c r="Z471" s="315" t="str">
        <f t="shared" ca="1" si="226"/>
        <v/>
      </c>
      <c r="AA471" s="316" t="str">
        <f t="shared" ca="1" si="227"/>
        <v/>
      </c>
      <c r="AC471" s="310" t="e">
        <f t="shared" ca="1" si="228"/>
        <v>#N/A</v>
      </c>
      <c r="AD471" s="323" t="e">
        <f t="shared" ca="1" si="229"/>
        <v>#N/A</v>
      </c>
      <c r="AE471" s="324">
        <f t="shared" ca="1" si="208"/>
        <v>1586.8825687880378</v>
      </c>
      <c r="AG471" s="306">
        <f t="shared" ca="1" si="230"/>
        <v>-12.897024027161779</v>
      </c>
      <c r="AH471" s="304">
        <f t="shared" ca="1" si="231"/>
        <v>-3.2531185275231445</v>
      </c>
    </row>
    <row r="472" spans="1:34" x14ac:dyDescent="0.2">
      <c r="A472" s="347">
        <f t="shared" ca="1" si="209"/>
        <v>0.1</v>
      </c>
      <c r="B472" s="304">
        <f t="shared" ca="1" si="210"/>
        <v>10.799999999999935</v>
      </c>
      <c r="D472" s="306">
        <f t="shared" ca="1" si="211"/>
        <v>-0.58496836639587824</v>
      </c>
      <c r="E472" s="307">
        <f t="shared" ca="1" si="212"/>
        <v>-12.91365557128238</v>
      </c>
      <c r="F472" s="304">
        <f t="shared" ca="1" si="213"/>
        <v>12.926897856925935</v>
      </c>
      <c r="G472" s="306">
        <f t="shared" ca="1" si="214"/>
        <v>16.471669732187127</v>
      </c>
      <c r="H472" s="307">
        <f t="shared" ca="1" si="215"/>
        <v>86.412425814805175</v>
      </c>
      <c r="I472" s="304">
        <f t="shared" ca="1" si="216"/>
        <v>87.968308151091875</v>
      </c>
      <c r="J472" s="306">
        <f t="shared" ca="1" si="217"/>
        <v>201.5977393482234</v>
      </c>
      <c r="K472" s="307">
        <f t="shared" ca="1" si="218"/>
        <v>1595.5883796473747</v>
      </c>
      <c r="L472" s="304">
        <f t="shared" ca="1" si="203"/>
        <v>1608.2735854872606</v>
      </c>
      <c r="M472" s="306">
        <f t="shared" ca="1" si="219"/>
        <v>1.3824390306639418</v>
      </c>
      <c r="N472" s="304">
        <f t="shared" ca="1" si="220"/>
        <v>79.207921891200456</v>
      </c>
      <c r="P472" s="310">
        <f t="shared" ca="1" si="221"/>
        <v>23</v>
      </c>
      <c r="Q472" s="304">
        <f t="shared" ca="1" si="222"/>
        <v>0</v>
      </c>
      <c r="R472" s="306">
        <f t="shared" ca="1" si="223"/>
        <v>0</v>
      </c>
      <c r="S472" s="307">
        <f t="shared" ca="1" si="224"/>
        <v>6.1519999999999921</v>
      </c>
      <c r="T472" s="304">
        <f t="shared" ca="1" si="204"/>
        <v>60.351119999999923</v>
      </c>
      <c r="U472" s="311">
        <f t="shared" ca="1" si="205"/>
        <v>0</v>
      </c>
      <c r="V472" s="306">
        <f t="shared" ca="1" si="206"/>
        <v>1.0439819392084608</v>
      </c>
      <c r="W472" s="304">
        <f t="shared" ca="1" si="207"/>
        <v>18.86014722214443</v>
      </c>
      <c r="Y472" s="314" t="str">
        <f t="shared" ca="1" si="225"/>
        <v/>
      </c>
      <c r="Z472" s="315" t="str">
        <f t="shared" ca="1" si="226"/>
        <v/>
      </c>
      <c r="AA472" s="316" t="str">
        <f t="shared" ca="1" si="227"/>
        <v/>
      </c>
      <c r="AC472" s="310" t="e">
        <f t="shared" ca="1" si="228"/>
        <v>#N/A</v>
      </c>
      <c r="AD472" s="323" t="e">
        <f t="shared" ca="1" si="229"/>
        <v>#N/A</v>
      </c>
      <c r="AE472" s="324">
        <f t="shared" ca="1" si="208"/>
        <v>1595.5883796473747</v>
      </c>
      <c r="AG472" s="306">
        <f t="shared" ca="1" si="230"/>
        <v>-12.798566588374198</v>
      </c>
      <c r="AH472" s="304">
        <f t="shared" ca="1" si="231"/>
        <v>-3.1583011089565258</v>
      </c>
    </row>
    <row r="473" spans="1:34" x14ac:dyDescent="0.2">
      <c r="A473" s="347">
        <f t="shared" ca="1" si="209"/>
        <v>0.1</v>
      </c>
      <c r="B473" s="304">
        <f t="shared" ca="1" si="210"/>
        <v>10.899999999999935</v>
      </c>
      <c r="D473" s="306">
        <f t="shared" ca="1" si="211"/>
        <v>-0.57403733301885673</v>
      </c>
      <c r="E473" s="307">
        <f t="shared" ca="1" si="212"/>
        <v>-12.821471166003892</v>
      </c>
      <c r="F473" s="304">
        <f t="shared" ca="1" si="213"/>
        <v>12.834315007836164</v>
      </c>
      <c r="G473" s="306">
        <f t="shared" ca="1" si="214"/>
        <v>16.414265998885242</v>
      </c>
      <c r="H473" s="307">
        <f t="shared" ca="1" si="215"/>
        <v>85.130278698204791</v>
      </c>
      <c r="I473" s="304">
        <f t="shared" ca="1" si="216"/>
        <v>86.698284178616717</v>
      </c>
      <c r="J473" s="306">
        <f t="shared" ca="1" si="217"/>
        <v>203.24203613477701</v>
      </c>
      <c r="K473" s="307">
        <f t="shared" ca="1" si="218"/>
        <v>1604.1655148730251</v>
      </c>
      <c r="L473" s="304">
        <f t="shared" ca="1" si="203"/>
        <v>1616.9892777504888</v>
      </c>
      <c r="M473" s="306">
        <f t="shared" ca="1" si="219"/>
        <v>1.3803203270076849</v>
      </c>
      <c r="N473" s="304">
        <f t="shared" ca="1" si="220"/>
        <v>79.086529113658003</v>
      </c>
      <c r="P473" s="310">
        <f t="shared" ca="1" si="221"/>
        <v>23</v>
      </c>
      <c r="Q473" s="304">
        <f t="shared" ca="1" si="222"/>
        <v>0</v>
      </c>
      <c r="R473" s="306">
        <f t="shared" ca="1" si="223"/>
        <v>0</v>
      </c>
      <c r="S473" s="307">
        <f t="shared" ca="1" si="224"/>
        <v>6.1519999999999921</v>
      </c>
      <c r="T473" s="304">
        <f t="shared" ca="1" si="204"/>
        <v>60.351119999999923</v>
      </c>
      <c r="U473" s="311">
        <f t="shared" ca="1" si="205"/>
        <v>0</v>
      </c>
      <c r="V473" s="306">
        <f t="shared" ca="1" si="206"/>
        <v>1.0430811238122932</v>
      </c>
      <c r="W473" s="304">
        <f t="shared" ca="1" si="207"/>
        <v>18.303692261379954</v>
      </c>
      <c r="Y473" s="314" t="str">
        <f t="shared" ca="1" si="225"/>
        <v/>
      </c>
      <c r="Z473" s="315" t="str">
        <f t="shared" ca="1" si="226"/>
        <v/>
      </c>
      <c r="AA473" s="316" t="str">
        <f t="shared" ca="1" si="227"/>
        <v/>
      </c>
      <c r="AC473" s="310" t="e">
        <f t="shared" ca="1" si="228"/>
        <v>#N/A</v>
      </c>
      <c r="AD473" s="323" t="e">
        <f t="shared" ca="1" si="229"/>
        <v>#N/A</v>
      </c>
      <c r="AE473" s="324">
        <f t="shared" ca="1" si="208"/>
        <v>1604.1655148730251</v>
      </c>
      <c r="AG473" s="306">
        <f t="shared" ca="1" si="230"/>
        <v>-12.702185625909845</v>
      </c>
      <c r="AH473" s="304">
        <f t="shared" ca="1" si="231"/>
        <v>-3.0656936316879801</v>
      </c>
    </row>
    <row r="474" spans="1:34" x14ac:dyDescent="0.2">
      <c r="A474" s="347">
        <f t="shared" ca="1" si="209"/>
        <v>0.1</v>
      </c>
      <c r="B474" s="304">
        <f t="shared" ca="1" si="210"/>
        <v>10.999999999999934</v>
      </c>
      <c r="D474" s="306">
        <f t="shared" ca="1" si="211"/>
        <v>-0.56329168840878596</v>
      </c>
      <c r="E474" s="307">
        <f t="shared" ca="1" si="212"/>
        <v>-12.731433003819907</v>
      </c>
      <c r="F474" s="304">
        <f t="shared" ca="1" si="213"/>
        <v>12.743888098103547</v>
      </c>
      <c r="G474" s="306">
        <f t="shared" ca="1" si="214"/>
        <v>16.357936830044363</v>
      </c>
      <c r="H474" s="307">
        <f t="shared" ca="1" si="215"/>
        <v>83.857135397822802</v>
      </c>
      <c r="I474" s="304">
        <f t="shared" ca="1" si="216"/>
        <v>85.437703939563519</v>
      </c>
      <c r="J474" s="306">
        <f t="shared" ca="1" si="217"/>
        <v>204.8806462762235</v>
      </c>
      <c r="K474" s="307">
        <f t="shared" ca="1" si="218"/>
        <v>1612.6148855778265</v>
      </c>
      <c r="L474" s="304">
        <f t="shared" ca="1" si="203"/>
        <v>1625.5776968221942</v>
      </c>
      <c r="M474" s="306">
        <f t="shared" ca="1" si="219"/>
        <v>1.3781464711425557</v>
      </c>
      <c r="N474" s="304">
        <f t="shared" ca="1" si="220"/>
        <v>78.961976347316337</v>
      </c>
      <c r="P474" s="310">
        <f t="shared" ca="1" si="221"/>
        <v>23</v>
      </c>
      <c r="Q474" s="304">
        <f t="shared" ca="1" si="222"/>
        <v>0</v>
      </c>
      <c r="R474" s="306">
        <f t="shared" ca="1" si="223"/>
        <v>0</v>
      </c>
      <c r="S474" s="307">
        <f t="shared" ca="1" si="224"/>
        <v>6.1519999999999921</v>
      </c>
      <c r="T474" s="304">
        <f t="shared" ca="1" si="204"/>
        <v>60.351119999999923</v>
      </c>
      <c r="U474" s="311">
        <f t="shared" ca="1" si="205"/>
        <v>0</v>
      </c>
      <c r="V474" s="306">
        <f t="shared" ca="1" si="206"/>
        <v>1.0421944260061689</v>
      </c>
      <c r="W474" s="304">
        <f t="shared" ca="1" si="207"/>
        <v>17.760185489560474</v>
      </c>
      <c r="Y474" s="314" t="str">
        <f t="shared" ca="1" si="225"/>
        <v/>
      </c>
      <c r="Z474" s="315" t="str">
        <f t="shared" ca="1" si="226"/>
        <v/>
      </c>
      <c r="AA474" s="316" t="str">
        <f t="shared" ca="1" si="227"/>
        <v/>
      </c>
      <c r="AC474" s="310">
        <f t="shared" ca="1" si="228"/>
        <v>10.999999999999934</v>
      </c>
      <c r="AD474" s="323">
        <f t="shared" ca="1" si="229"/>
        <v>204.8806462762235</v>
      </c>
      <c r="AE474" s="324">
        <f t="shared" ca="1" si="208"/>
        <v>1612.6148855778265</v>
      </c>
      <c r="AG474" s="306">
        <f t="shared" ca="1" si="230"/>
        <v>-12.607821132875557</v>
      </c>
      <c r="AH474" s="304">
        <f t="shared" ca="1" si="231"/>
        <v>-2.9752425652438195</v>
      </c>
    </row>
    <row r="475" spans="1:34" x14ac:dyDescent="0.2">
      <c r="A475" s="347">
        <f t="shared" ca="1" si="209"/>
        <v>0.1</v>
      </c>
      <c r="B475" s="304">
        <f t="shared" ca="1" si="210"/>
        <v>11.099999999999934</v>
      </c>
      <c r="D475" s="306">
        <f t="shared" ca="1" si="211"/>
        <v>-0.55272629852596677</v>
      </c>
      <c r="E475" s="307">
        <f t="shared" ca="1" si="212"/>
        <v>-12.643489610272796</v>
      </c>
      <c r="F475" s="304">
        <f t="shared" ca="1" si="213"/>
        <v>12.655565411555438</v>
      </c>
      <c r="G475" s="306">
        <f t="shared" ca="1" si="214"/>
        <v>16.302664200191767</v>
      </c>
      <c r="H475" s="307">
        <f t="shared" ca="1" si="215"/>
        <v>82.592786436795521</v>
      </c>
      <c r="I475" s="304">
        <f t="shared" ca="1" si="216"/>
        <v>84.186372005321203</v>
      </c>
      <c r="J475" s="306">
        <f t="shared" ca="1" si="217"/>
        <v>206.51367632773531</v>
      </c>
      <c r="K475" s="307">
        <f t="shared" ca="1" si="218"/>
        <v>1620.9373816695575</v>
      </c>
      <c r="L475" s="304">
        <f t="shared" ca="1" si="203"/>
        <v>1634.0397467026796</v>
      </c>
      <c r="M475" s="306">
        <f t="shared" ca="1" si="219"/>
        <v>1.3759154353808423</v>
      </c>
      <c r="N475" s="304">
        <f t="shared" ca="1" si="220"/>
        <v>78.834147414227402</v>
      </c>
      <c r="P475" s="310">
        <f t="shared" ca="1" si="221"/>
        <v>23</v>
      </c>
      <c r="Q475" s="304">
        <f t="shared" ca="1" si="222"/>
        <v>0</v>
      </c>
      <c r="R475" s="306">
        <f t="shared" ca="1" si="223"/>
        <v>0</v>
      </c>
      <c r="S475" s="307">
        <f t="shared" ca="1" si="224"/>
        <v>6.1519999999999921</v>
      </c>
      <c r="T475" s="304">
        <f t="shared" ca="1" si="204"/>
        <v>60.351119999999923</v>
      </c>
      <c r="U475" s="311">
        <f t="shared" ca="1" si="205"/>
        <v>0</v>
      </c>
      <c r="V475" s="306">
        <f t="shared" ca="1" si="206"/>
        <v>1.0413217202387663</v>
      </c>
      <c r="W475" s="304">
        <f t="shared" ca="1" si="207"/>
        <v>17.229319688923706</v>
      </c>
      <c r="Y475" s="314" t="str">
        <f t="shared" ca="1" si="225"/>
        <v/>
      </c>
      <c r="Z475" s="315" t="str">
        <f t="shared" ca="1" si="226"/>
        <v/>
      </c>
      <c r="AA475" s="316" t="str">
        <f t="shared" ca="1" si="227"/>
        <v/>
      </c>
      <c r="AC475" s="310" t="e">
        <f t="shared" ca="1" si="228"/>
        <v>#N/A</v>
      </c>
      <c r="AD475" s="323" t="e">
        <f t="shared" ca="1" si="229"/>
        <v>#N/A</v>
      </c>
      <c r="AE475" s="324">
        <f t="shared" ca="1" si="208"/>
        <v>1620.9373816695575</v>
      </c>
      <c r="AG475" s="306">
        <f t="shared" ca="1" si="230"/>
        <v>-12.515414538546018</v>
      </c>
      <c r="AH475" s="304">
        <f t="shared" ca="1" si="231"/>
        <v>-2.8868962109168557</v>
      </c>
    </row>
    <row r="476" spans="1:34" x14ac:dyDescent="0.2">
      <c r="A476" s="347">
        <f t="shared" ca="1" si="209"/>
        <v>0.1</v>
      </c>
      <c r="B476" s="304">
        <f t="shared" ca="1" si="210"/>
        <v>11.199999999999934</v>
      </c>
      <c r="D476" s="306">
        <f t="shared" ca="1" si="211"/>
        <v>-0.54233619725518245</v>
      </c>
      <c r="E476" s="307">
        <f t="shared" ca="1" si="212"/>
        <v>-12.557591262801957</v>
      </c>
      <c r="F476" s="304">
        <f t="shared" ca="1" si="213"/>
        <v>12.56929699205382</v>
      </c>
      <c r="G476" s="306">
        <f t="shared" ca="1" si="214"/>
        <v>16.248430580466248</v>
      </c>
      <c r="H476" s="307">
        <f t="shared" ca="1" si="215"/>
        <v>81.337027310515325</v>
      </c>
      <c r="I476" s="304">
        <f t="shared" ca="1" si="216"/>
        <v>82.944098693275009</v>
      </c>
      <c r="J476" s="306">
        <f t="shared" ca="1" si="217"/>
        <v>208.1412310667682</v>
      </c>
      <c r="K476" s="307">
        <f t="shared" ca="1" si="218"/>
        <v>1629.1338723569229</v>
      </c>
      <c r="L476" s="304">
        <f t="shared" ca="1" si="203"/>
        <v>1642.376310755441</v>
      </c>
      <c r="M476" s="306">
        <f t="shared" ca="1" si="219"/>
        <v>1.3736250915528634</v>
      </c>
      <c r="N476" s="304">
        <f t="shared" ca="1" si="220"/>
        <v>78.702920379250386</v>
      </c>
      <c r="P476" s="310">
        <f t="shared" ca="1" si="221"/>
        <v>23</v>
      </c>
      <c r="Q476" s="304">
        <f t="shared" ca="1" si="222"/>
        <v>0</v>
      </c>
      <c r="R476" s="306">
        <f t="shared" ca="1" si="223"/>
        <v>0</v>
      </c>
      <c r="S476" s="307">
        <f t="shared" ca="1" si="224"/>
        <v>6.1519999999999921</v>
      </c>
      <c r="T476" s="304">
        <f t="shared" ca="1" si="204"/>
        <v>60.351119999999923</v>
      </c>
      <c r="U476" s="311">
        <f t="shared" ca="1" si="205"/>
        <v>0</v>
      </c>
      <c r="V476" s="306">
        <f t="shared" ca="1" si="206"/>
        <v>1.0404628839587684</v>
      </c>
      <c r="W476" s="304">
        <f t="shared" ca="1" si="207"/>
        <v>16.710798058269393</v>
      </c>
      <c r="Y476" s="314" t="str">
        <f t="shared" ca="1" si="225"/>
        <v/>
      </c>
      <c r="Z476" s="315" t="str">
        <f t="shared" ca="1" si="226"/>
        <v/>
      </c>
      <c r="AA476" s="316" t="str">
        <f t="shared" ca="1" si="227"/>
        <v/>
      </c>
      <c r="AC476" s="310" t="e">
        <f t="shared" ca="1" si="228"/>
        <v>#N/A</v>
      </c>
      <c r="AD476" s="323" t="e">
        <f t="shared" ca="1" si="229"/>
        <v>#N/A</v>
      </c>
      <c r="AE476" s="324">
        <f t="shared" ca="1" si="208"/>
        <v>1629.1338723569229</v>
      </c>
      <c r="AG476" s="306">
        <f t="shared" ca="1" si="230"/>
        <v>-12.42490860837329</v>
      </c>
      <c r="AH476" s="304">
        <f t="shared" ca="1" si="231"/>
        <v>-2.8006046308393575</v>
      </c>
    </row>
    <row r="477" spans="1:34" x14ac:dyDescent="0.2">
      <c r="A477" s="347">
        <f t="shared" ca="1" si="209"/>
        <v>0.1</v>
      </c>
      <c r="B477" s="304">
        <f t="shared" ca="1" si="210"/>
        <v>11.299999999999933</v>
      </c>
      <c r="D477" s="306">
        <f t="shared" ca="1" si="211"/>
        <v>-0.53211658009300922</v>
      </c>
      <c r="E477" s="307">
        <f t="shared" ca="1" si="212"/>
        <v>-12.473689923347735</v>
      </c>
      <c r="F477" s="304">
        <f t="shared" ca="1" si="213"/>
        <v>12.485034575788594</v>
      </c>
      <c r="G477" s="306">
        <f t="shared" ca="1" si="214"/>
        <v>16.195218922456949</v>
      </c>
      <c r="H477" s="307">
        <f t="shared" ca="1" si="215"/>
        <v>80.089658318180554</v>
      </c>
      <c r="I477" s="304">
        <f t="shared" ca="1" si="216"/>
        <v>81.710699944800467</v>
      </c>
      <c r="J477" s="306">
        <f t="shared" ca="1" si="217"/>
        <v>209.76341354191436</v>
      </c>
      <c r="K477" s="307">
        <f t="shared" ca="1" si="218"/>
        <v>1637.2052066383576</v>
      </c>
      <c r="L477" s="304">
        <f t="shared" ca="1" si="203"/>
        <v>1650.5882522011671</v>
      </c>
      <c r="M477" s="306">
        <f t="shared" ca="1" si="219"/>
        <v>1.3712732048103726</v>
      </c>
      <c r="N477" s="304">
        <f t="shared" ca="1" si="220"/>
        <v>78.56816719501289</v>
      </c>
      <c r="P477" s="310">
        <f t="shared" ca="1" si="221"/>
        <v>23</v>
      </c>
      <c r="Q477" s="304">
        <f t="shared" ca="1" si="222"/>
        <v>0</v>
      </c>
      <c r="R477" s="306">
        <f t="shared" ca="1" si="223"/>
        <v>0</v>
      </c>
      <c r="S477" s="307">
        <f t="shared" ca="1" si="224"/>
        <v>6.1519999999999921</v>
      </c>
      <c r="T477" s="304">
        <f t="shared" ca="1" si="204"/>
        <v>60.351119999999923</v>
      </c>
      <c r="U477" s="311">
        <f t="shared" ca="1" si="205"/>
        <v>0</v>
      </c>
      <c r="V477" s="306">
        <f t="shared" ca="1" si="206"/>
        <v>1.0396177975409993</v>
      </c>
      <c r="W477" s="304">
        <f t="shared" ca="1" si="207"/>
        <v>16.204333816005175</v>
      </c>
      <c r="Y477" s="314" t="str">
        <f t="shared" ca="1" si="225"/>
        <v/>
      </c>
      <c r="Z477" s="315" t="str">
        <f t="shared" ca="1" si="226"/>
        <v/>
      </c>
      <c r="AA477" s="316" t="str">
        <f t="shared" ca="1" si="227"/>
        <v/>
      </c>
      <c r="AC477" s="310" t="e">
        <f t="shared" ca="1" si="228"/>
        <v>#N/A</v>
      </c>
      <c r="AD477" s="323" t="e">
        <f t="shared" ca="1" si="229"/>
        <v>#N/A</v>
      </c>
      <c r="AE477" s="324">
        <f t="shared" ca="1" si="208"/>
        <v>1637.2052066383576</v>
      </c>
      <c r="AG477" s="306">
        <f t="shared" ca="1" si="230"/>
        <v>-12.336247344786106</v>
      </c>
      <c r="AH477" s="304">
        <f t="shared" ca="1" si="231"/>
        <v>-2.7163195803428826</v>
      </c>
    </row>
    <row r="478" spans="1:34" x14ac:dyDescent="0.2">
      <c r="A478" s="347">
        <f t="shared" ca="1" si="209"/>
        <v>0.1</v>
      </c>
      <c r="B478" s="304">
        <f t="shared" ca="1" si="210"/>
        <v>11.399999999999933</v>
      </c>
      <c r="D478" s="306">
        <f t="shared" ca="1" si="211"/>
        <v>-0.52206279814962253</v>
      </c>
      <c r="E478" s="307">
        <f t="shared" ca="1" si="212"/>
        <v>-12.391739174050841</v>
      </c>
      <c r="F478" s="304">
        <f t="shared" ca="1" si="213"/>
        <v>12.402731526680647</v>
      </c>
      <c r="G478" s="306">
        <f t="shared" ca="1" si="214"/>
        <v>16.143012642641988</v>
      </c>
      <c r="H478" s="307">
        <f t="shared" ca="1" si="215"/>
        <v>78.850484400775471</v>
      </c>
      <c r="I478" s="304">
        <f t="shared" ca="1" si="216"/>
        <v>80.485997213288186</v>
      </c>
      <c r="J478" s="306">
        <f t="shared" ca="1" si="217"/>
        <v>211.38032512016932</v>
      </c>
      <c r="K478" s="307">
        <f t="shared" ca="1" si="218"/>
        <v>1645.1522137743054</v>
      </c>
      <c r="L478" s="304">
        <f t="shared" ca="1" si="203"/>
        <v>1658.6764145952056</v>
      </c>
      <c r="M478" s="306">
        <f t="shared" ca="1" si="219"/>
        <v>1.368857426972153</v>
      </c>
      <c r="N478" s="304">
        <f t="shared" ca="1" si="220"/>
        <v>78.429753320641666</v>
      </c>
      <c r="P478" s="310">
        <f t="shared" ca="1" si="221"/>
        <v>23</v>
      </c>
      <c r="Q478" s="304">
        <f t="shared" ca="1" si="222"/>
        <v>0</v>
      </c>
      <c r="R478" s="306">
        <f t="shared" ca="1" si="223"/>
        <v>0</v>
      </c>
      <c r="S478" s="307">
        <f t="shared" ca="1" si="224"/>
        <v>6.1519999999999921</v>
      </c>
      <c r="T478" s="304">
        <f t="shared" ca="1" si="204"/>
        <v>60.351119999999923</v>
      </c>
      <c r="U478" s="311">
        <f t="shared" ca="1" si="205"/>
        <v>0</v>
      </c>
      <c r="V478" s="306">
        <f t="shared" ca="1" si="206"/>
        <v>1.0387863442151226</v>
      </c>
      <c r="W478" s="304">
        <f t="shared" ca="1" si="207"/>
        <v>15.709649821369208</v>
      </c>
      <c r="Y478" s="314" t="str">
        <f t="shared" ca="1" si="225"/>
        <v/>
      </c>
      <c r="Z478" s="315" t="str">
        <f t="shared" ca="1" si="226"/>
        <v/>
      </c>
      <c r="AA478" s="316" t="str">
        <f t="shared" ca="1" si="227"/>
        <v/>
      </c>
      <c r="AC478" s="310" t="e">
        <f t="shared" ca="1" si="228"/>
        <v>#N/A</v>
      </c>
      <c r="AD478" s="323" t="e">
        <f t="shared" ca="1" si="229"/>
        <v>#N/A</v>
      </c>
      <c r="AE478" s="324">
        <f t="shared" ca="1" si="208"/>
        <v>1645.1522137743054</v>
      </c>
      <c r="AG478" s="306">
        <f t="shared" ca="1" si="230"/>
        <v>-12.249375888362332</v>
      </c>
      <c r="AH478" s="304">
        <f t="shared" ca="1" si="231"/>
        <v>-2.6339944434338745</v>
      </c>
    </row>
    <row r="479" spans="1:34" x14ac:dyDescent="0.2">
      <c r="A479" s="347">
        <f t="shared" ca="1" si="209"/>
        <v>0.1</v>
      </c>
      <c r="B479" s="304">
        <f t="shared" ca="1" si="210"/>
        <v>11.499999999999932</v>
      </c>
      <c r="D479" s="306">
        <f t="shared" ca="1" si="211"/>
        <v>-0.51217035245121501</v>
      </c>
      <c r="E479" s="307">
        <f t="shared" ca="1" si="212"/>
        <v>-12.311694155886183</v>
      </c>
      <c r="F479" s="304">
        <f t="shared" ca="1" si="213"/>
        <v>12.322342774732896</v>
      </c>
      <c r="G479" s="306">
        <f t="shared" ca="1" si="214"/>
        <v>16.091795607396868</v>
      </c>
      <c r="H479" s="307">
        <f t="shared" ca="1" si="215"/>
        <v>77.619314985186847</v>
      </c>
      <c r="I479" s="304">
        <f t="shared" ca="1" si="216"/>
        <v>79.26981736222109</v>
      </c>
      <c r="J479" s="306">
        <f t="shared" ca="1" si="217"/>
        <v>212.99206553267126</v>
      </c>
      <c r="K479" s="307">
        <f t="shared" ca="1" si="218"/>
        <v>1652.9757037436036</v>
      </c>
      <c r="L479" s="304">
        <f t="shared" ca="1" si="203"/>
        <v>1666.6416222891278</v>
      </c>
      <c r="M479" s="306">
        <f t="shared" ca="1" si="219"/>
        <v>1.3663752893725252</v>
      </c>
      <c r="N479" s="304">
        <f t="shared" ca="1" si="220"/>
        <v>78.287537312012262</v>
      </c>
      <c r="P479" s="310">
        <f t="shared" ca="1" si="221"/>
        <v>23</v>
      </c>
      <c r="Q479" s="304">
        <f t="shared" ca="1" si="222"/>
        <v>0</v>
      </c>
      <c r="R479" s="306">
        <f t="shared" ca="1" si="223"/>
        <v>0</v>
      </c>
      <c r="S479" s="307">
        <f t="shared" ca="1" si="224"/>
        <v>6.1519999999999921</v>
      </c>
      <c r="T479" s="304">
        <f t="shared" ca="1" si="204"/>
        <v>60.351119999999923</v>
      </c>
      <c r="U479" s="311">
        <f t="shared" ca="1" si="205"/>
        <v>0</v>
      </c>
      <c r="V479" s="306">
        <f t="shared" ca="1" si="206"/>
        <v>1.0379684099968001</v>
      </c>
      <c r="W479" s="304">
        <f t="shared" ca="1" si="207"/>
        <v>15.226478212896444</v>
      </c>
      <c r="Y479" s="314" t="str">
        <f t="shared" ca="1" si="225"/>
        <v/>
      </c>
      <c r="Z479" s="315" t="str">
        <f t="shared" ca="1" si="226"/>
        <v/>
      </c>
      <c r="AA479" s="316" t="str">
        <f t="shared" ca="1" si="227"/>
        <v/>
      </c>
      <c r="AC479" s="310" t="e">
        <f t="shared" ca="1" si="228"/>
        <v>#N/A</v>
      </c>
      <c r="AD479" s="323" t="e">
        <f t="shared" ca="1" si="229"/>
        <v>#N/A</v>
      </c>
      <c r="AE479" s="324">
        <f t="shared" ca="1" si="208"/>
        <v>1652.9757037436036</v>
      </c>
      <c r="AG479" s="306">
        <f t="shared" ca="1" si="230"/>
        <v>-12.164240418940695</v>
      </c>
      <c r="AH479" s="304">
        <f t="shared" ca="1" si="231"/>
        <v>-2.5535841712238665</v>
      </c>
    </row>
    <row r="480" spans="1:34" x14ac:dyDescent="0.2">
      <c r="A480" s="347">
        <f t="shared" ca="1" si="209"/>
        <v>0.1</v>
      </c>
      <c r="B480" s="304">
        <f t="shared" ca="1" si="210"/>
        <v>11.599999999999932</v>
      </c>
      <c r="D480" s="306">
        <f t="shared" ca="1" si="211"/>
        <v>-0.50243488853020069</v>
      </c>
      <c r="E480" s="307">
        <f t="shared" ca="1" si="212"/>
        <v>-12.23351151007949</v>
      </c>
      <c r="F480" s="304">
        <f t="shared" ca="1" si="213"/>
        <v>12.243824757176972</v>
      </c>
      <c r="G480" s="306">
        <f t="shared" ca="1" si="214"/>
        <v>16.041552118543848</v>
      </c>
      <c r="H480" s="307">
        <f t="shared" ca="1" si="215"/>
        <v>76.3959638341789</v>
      </c>
      <c r="I480" s="304">
        <f t="shared" ca="1" si="216"/>
        <v>78.06199257337164</v>
      </c>
      <c r="J480" s="306">
        <f t="shared" ca="1" si="217"/>
        <v>214.5987329189683</v>
      </c>
      <c r="K480" s="307">
        <f t="shared" ca="1" si="218"/>
        <v>1660.6764676845719</v>
      </c>
      <c r="L480" s="304">
        <f t="shared" ca="1" si="203"/>
        <v>1674.4846808769955</v>
      </c>
      <c r="M480" s="306">
        <f t="shared" ca="1" si="219"/>
        <v>1.3638241951696639</v>
      </c>
      <c r="N480" s="304">
        <f t="shared" ca="1" si="220"/>
        <v>78.14137038104802</v>
      </c>
      <c r="P480" s="310">
        <f t="shared" ca="1" si="221"/>
        <v>23</v>
      </c>
      <c r="Q480" s="304">
        <f t="shared" ca="1" si="222"/>
        <v>0</v>
      </c>
      <c r="R480" s="306">
        <f t="shared" ca="1" si="223"/>
        <v>0</v>
      </c>
      <c r="S480" s="307">
        <f t="shared" ca="1" si="224"/>
        <v>6.1519999999999921</v>
      </c>
      <c r="T480" s="304">
        <f t="shared" ca="1" si="204"/>
        <v>60.351119999999923</v>
      </c>
      <c r="U480" s="311">
        <f t="shared" ca="1" si="205"/>
        <v>0</v>
      </c>
      <c r="V480" s="306">
        <f t="shared" ca="1" si="206"/>
        <v>1.0371638836212156</v>
      </c>
      <c r="W480" s="304">
        <f t="shared" ca="1" si="207"/>
        <v>14.754560063249205</v>
      </c>
      <c r="Y480" s="314" t="str">
        <f t="shared" ca="1" si="225"/>
        <v/>
      </c>
      <c r="Z480" s="315" t="str">
        <f t="shared" ca="1" si="226"/>
        <v/>
      </c>
      <c r="AA480" s="316" t="str">
        <f t="shared" ca="1" si="227"/>
        <v/>
      </c>
      <c r="AC480" s="310" t="e">
        <f t="shared" ca="1" si="228"/>
        <v>#N/A</v>
      </c>
      <c r="AD480" s="323" t="e">
        <f t="shared" ca="1" si="229"/>
        <v>#N/A</v>
      </c>
      <c r="AE480" s="324">
        <f t="shared" ca="1" si="208"/>
        <v>1660.6764676845719</v>
      </c>
      <c r="AG480" s="306">
        <f t="shared" ca="1" si="230"/>
        <v>-12.080788056216978</v>
      </c>
      <c r="AH480" s="304">
        <f t="shared" ca="1" si="231"/>
        <v>-2.4750452231626241</v>
      </c>
    </row>
    <row r="481" spans="1:34" x14ac:dyDescent="0.2">
      <c r="A481" s="347">
        <f t="shared" ca="1" si="209"/>
        <v>0.1</v>
      </c>
      <c r="B481" s="304">
        <f t="shared" ca="1" si="210"/>
        <v>11.699999999999932</v>
      </c>
      <c r="D481" s="306">
        <f t="shared" ca="1" si="211"/>
        <v>-0.49285219129139224</v>
      </c>
      <c r="E481" s="307">
        <f t="shared" ca="1" si="212"/>
        <v>-12.157149322163647</v>
      </c>
      <c r="F481" s="304">
        <f t="shared" ca="1" si="213"/>
        <v>12.167135362271793</v>
      </c>
      <c r="G481" s="306">
        <f t="shared" ca="1" si="214"/>
        <v>15.992266899414709</v>
      </c>
      <c r="H481" s="307">
        <f t="shared" ca="1" si="215"/>
        <v>75.180248901962528</v>
      </c>
      <c r="I481" s="304">
        <f t="shared" ca="1" si="216"/>
        <v>76.862360265237456</v>
      </c>
      <c r="J481" s="306">
        <f t="shared" ca="1" si="217"/>
        <v>216.20042386986623</v>
      </c>
      <c r="K481" s="307">
        <f t="shared" ca="1" si="218"/>
        <v>1668.2552783213789</v>
      </c>
      <c r="L481" s="304">
        <f t="shared" ca="1" si="203"/>
        <v>1682.2063776269104</v>
      </c>
      <c r="M481" s="306">
        <f t="shared" ca="1" si="219"/>
        <v>1.3612014110663755</v>
      </c>
      <c r="N481" s="304">
        <f t="shared" ca="1" si="220"/>
        <v>77.99109592135558</v>
      </c>
      <c r="P481" s="310">
        <f t="shared" ca="1" si="221"/>
        <v>23</v>
      </c>
      <c r="Q481" s="304">
        <f t="shared" ca="1" si="222"/>
        <v>0</v>
      </c>
      <c r="R481" s="306">
        <f t="shared" ca="1" si="223"/>
        <v>0</v>
      </c>
      <c r="S481" s="307">
        <f t="shared" ca="1" si="224"/>
        <v>6.1519999999999921</v>
      </c>
      <c r="T481" s="304">
        <f t="shared" ca="1" si="204"/>
        <v>60.351119999999923</v>
      </c>
      <c r="U481" s="311">
        <f t="shared" ca="1" si="205"/>
        <v>0</v>
      </c>
      <c r="V481" s="306">
        <f t="shared" ca="1" si="206"/>
        <v>1.036372656478874</v>
      </c>
      <c r="W481" s="304">
        <f t="shared" ca="1" si="207"/>
        <v>14.293645049583491</v>
      </c>
      <c r="Y481" s="314" t="str">
        <f t="shared" ca="1" si="225"/>
        <v/>
      </c>
      <c r="Z481" s="315" t="str">
        <f t="shared" ca="1" si="226"/>
        <v/>
      </c>
      <c r="AA481" s="316" t="str">
        <f t="shared" ca="1" si="227"/>
        <v/>
      </c>
      <c r="AC481" s="310" t="e">
        <f t="shared" ca="1" si="228"/>
        <v>#N/A</v>
      </c>
      <c r="AD481" s="323" t="e">
        <f t="shared" ca="1" si="229"/>
        <v>#N/A</v>
      </c>
      <c r="AE481" s="324">
        <f t="shared" ca="1" si="208"/>
        <v>1668.2552783213789</v>
      </c>
      <c r="AG481" s="306">
        <f t="shared" ca="1" si="230"/>
        <v>-11.998966759344274</v>
      </c>
      <c r="AH481" s="304">
        <f t="shared" ca="1" si="231"/>
        <v>-2.3983355109312781</v>
      </c>
    </row>
    <row r="482" spans="1:34" x14ac:dyDescent="0.2">
      <c r="A482" s="347">
        <f t="shared" ca="1" si="209"/>
        <v>0.1</v>
      </c>
      <c r="B482" s="304">
        <f t="shared" ca="1" si="210"/>
        <v>11.799999999999931</v>
      </c>
      <c r="D482" s="306">
        <f t="shared" ca="1" si="211"/>
        <v>-0.4834181801433331</v>
      </c>
      <c r="E482" s="307">
        <f t="shared" ca="1" si="212"/>
        <v>-12.082567068539838</v>
      </c>
      <c r="F482" s="304">
        <f t="shared" ca="1" si="213"/>
        <v>12.092233875618536</v>
      </c>
      <c r="G482" s="306">
        <f t="shared" ca="1" si="214"/>
        <v>15.943925081400376</v>
      </c>
      <c r="H482" s="307">
        <f t="shared" ca="1" si="215"/>
        <v>73.971992195108541</v>
      </c>
      <c r="I482" s="304">
        <f t="shared" ca="1" si="216"/>
        <v>75.670763021886515</v>
      </c>
      <c r="J482" s="306">
        <f t="shared" ca="1" si="217"/>
        <v>217.797233468907</v>
      </c>
      <c r="K482" s="307">
        <f t="shared" ca="1" si="218"/>
        <v>1675.7128903762325</v>
      </c>
      <c r="L482" s="304">
        <f t="shared" ca="1" si="203"/>
        <v>1689.8074818983898</v>
      </c>
      <c r="M482" s="306">
        <f t="shared" ca="1" si="219"/>
        <v>1.3585040583912897</v>
      </c>
      <c r="N482" s="304">
        <f t="shared" ca="1" si="220"/>
        <v>77.836548997214848</v>
      </c>
      <c r="P482" s="310">
        <f t="shared" ca="1" si="221"/>
        <v>23</v>
      </c>
      <c r="Q482" s="304">
        <f t="shared" ca="1" si="222"/>
        <v>0</v>
      </c>
      <c r="R482" s="306">
        <f t="shared" ca="1" si="223"/>
        <v>0</v>
      </c>
      <c r="S482" s="307">
        <f t="shared" ca="1" si="224"/>
        <v>6.1519999999999921</v>
      </c>
      <c r="T482" s="304">
        <f t="shared" ca="1" si="204"/>
        <v>60.351119999999923</v>
      </c>
      <c r="U482" s="311">
        <f t="shared" ca="1" si="205"/>
        <v>0</v>
      </c>
      <c r="V482" s="306">
        <f t="shared" ca="1" si="206"/>
        <v>1.0355946225535881</v>
      </c>
      <c r="W482" s="304">
        <f t="shared" ca="1" si="207"/>
        <v>13.843491138669901</v>
      </c>
      <c r="Y482" s="314" t="str">
        <f t="shared" ca="1" si="225"/>
        <v/>
      </c>
      <c r="Z482" s="315" t="str">
        <f t="shared" ca="1" si="226"/>
        <v/>
      </c>
      <c r="AA482" s="316" t="str">
        <f t="shared" ca="1" si="227"/>
        <v/>
      </c>
      <c r="AC482" s="310" t="e">
        <f t="shared" ca="1" si="228"/>
        <v>#N/A</v>
      </c>
      <c r="AD482" s="323" t="e">
        <f t="shared" ca="1" si="229"/>
        <v>#N/A</v>
      </c>
      <c r="AE482" s="324">
        <f t="shared" ca="1" si="208"/>
        <v>1675.7128903762325</v>
      </c>
      <c r="AG482" s="306">
        <f t="shared" ca="1" si="230"/>
        <v>-11.918725225026526</v>
      </c>
      <c r="AH482" s="304">
        <f t="shared" ca="1" si="231"/>
        <v>-2.3234143448607782</v>
      </c>
    </row>
    <row r="483" spans="1:34" x14ac:dyDescent="0.2">
      <c r="A483" s="347">
        <f t="shared" ca="1" si="209"/>
        <v>0.1</v>
      </c>
      <c r="B483" s="304">
        <f t="shared" ca="1" si="210"/>
        <v>11.899999999999931</v>
      </c>
      <c r="D483" s="306">
        <f t="shared" ca="1" si="211"/>
        <v>-0.47412890438490624</v>
      </c>
      <c r="E483" s="307">
        <f t="shared" ca="1" si="212"/>
        <v>-12.009725565416117</v>
      </c>
      <c r="F483" s="304">
        <f t="shared" ca="1" si="213"/>
        <v>12.019080928864017</v>
      </c>
      <c r="G483" s="306">
        <f t="shared" ca="1" si="214"/>
        <v>15.896512190961886</v>
      </c>
      <c r="H483" s="307">
        <f t="shared" ca="1" si="215"/>
        <v>72.771019638566926</v>
      </c>
      <c r="I483" s="304">
        <f t="shared" ca="1" si="216"/>
        <v>74.487048532440141</v>
      </c>
      <c r="J483" s="306">
        <f t="shared" ca="1" si="217"/>
        <v>219.3892553325251</v>
      </c>
      <c r="K483" s="307">
        <f t="shared" ca="1" si="218"/>
        <v>1683.0500409679162</v>
      </c>
      <c r="L483" s="304">
        <f t="shared" ca="1" si="203"/>
        <v>1697.2887455461032</v>
      </c>
      <c r="M483" s="306">
        <f t="shared" ca="1" si="219"/>
        <v>1.3557291034831958</v>
      </c>
      <c r="N483" s="304">
        <f t="shared" ca="1" si="220"/>
        <v>77.677555792641954</v>
      </c>
      <c r="P483" s="310">
        <f t="shared" ca="1" si="221"/>
        <v>23</v>
      </c>
      <c r="Q483" s="304">
        <f t="shared" ca="1" si="222"/>
        <v>0</v>
      </c>
      <c r="R483" s="306">
        <f t="shared" ca="1" si="223"/>
        <v>0</v>
      </c>
      <c r="S483" s="307">
        <f t="shared" ca="1" si="224"/>
        <v>6.1519999999999921</v>
      </c>
      <c r="T483" s="304">
        <f t="shared" ca="1" si="204"/>
        <v>60.351119999999923</v>
      </c>
      <c r="U483" s="311">
        <f t="shared" ca="1" si="205"/>
        <v>0</v>
      </c>
      <c r="V483" s="306">
        <f t="shared" ca="1" si="206"/>
        <v>1.0348296783625686</v>
      </c>
      <c r="W483" s="304">
        <f t="shared" ca="1" si="207"/>
        <v>13.403864286032311</v>
      </c>
      <c r="Y483" s="314" t="str">
        <f t="shared" ca="1" si="225"/>
        <v/>
      </c>
      <c r="Z483" s="315" t="str">
        <f t="shared" ca="1" si="226"/>
        <v/>
      </c>
      <c r="AA483" s="316" t="str">
        <f t="shared" ca="1" si="227"/>
        <v/>
      </c>
      <c r="AC483" s="310" t="e">
        <f t="shared" ca="1" si="228"/>
        <v>#N/A</v>
      </c>
      <c r="AD483" s="323" t="e">
        <f t="shared" ca="1" si="229"/>
        <v>#N/A</v>
      </c>
      <c r="AE483" s="324">
        <f t="shared" ca="1" si="208"/>
        <v>1683.0500409679162</v>
      </c>
      <c r="AG483" s="306">
        <f t="shared" ca="1" si="230"/>
        <v>-11.840012783558945</v>
      </c>
      <c r="AH483" s="304">
        <f t="shared" ca="1" si="231"/>
        <v>-2.2502423827486862</v>
      </c>
    </row>
    <row r="484" spans="1:34" x14ac:dyDescent="0.2">
      <c r="A484" s="347">
        <f t="shared" ca="1" si="209"/>
        <v>0.1</v>
      </c>
      <c r="B484" s="304">
        <f t="shared" ca="1" si="210"/>
        <v>11.999999999999931</v>
      </c>
      <c r="D484" s="306">
        <f t="shared" ca="1" si="211"/>
        <v>-0.46498053883827917</v>
      </c>
      <c r="E484" s="307">
        <f t="shared" ca="1" si="212"/>
        <v>-11.938586920003134</v>
      </c>
      <c r="F484" s="304">
        <f t="shared" ca="1" si="213"/>
        <v>11.947638450671674</v>
      </c>
      <c r="G484" s="306">
        <f t="shared" ca="1" si="214"/>
        <v>15.850014137078057</v>
      </c>
      <c r="H484" s="307">
        <f t="shared" ca="1" si="215"/>
        <v>71.577160946566607</v>
      </c>
      <c r="I484" s="304">
        <f t="shared" ca="1" si="216"/>
        <v>73.311069541483803</v>
      </c>
      <c r="J484" s="306">
        <f t="shared" ca="1" si="217"/>
        <v>220.97658164892709</v>
      </c>
      <c r="K484" s="307">
        <f t="shared" ca="1" si="218"/>
        <v>1690.2674499971729</v>
      </c>
      <c r="L484" s="304">
        <f t="shared" ca="1" si="203"/>
        <v>1704.6509033104669</v>
      </c>
      <c r="M484" s="306">
        <f t="shared" ca="1" si="219"/>
        <v>1.3528733473154435</v>
      </c>
      <c r="N484" s="304">
        <f t="shared" ca="1" si="220"/>
        <v>77.513933016911295</v>
      </c>
      <c r="P484" s="310">
        <f t="shared" ca="1" si="221"/>
        <v>23</v>
      </c>
      <c r="Q484" s="304">
        <f t="shared" ca="1" si="222"/>
        <v>0</v>
      </c>
      <c r="R484" s="306">
        <f t="shared" ca="1" si="223"/>
        <v>0</v>
      </c>
      <c r="S484" s="307">
        <f t="shared" ca="1" si="224"/>
        <v>6.1519999999999921</v>
      </c>
      <c r="T484" s="304">
        <f t="shared" ca="1" si="204"/>
        <v>60.351119999999923</v>
      </c>
      <c r="U484" s="311">
        <f t="shared" ca="1" si="205"/>
        <v>0</v>
      </c>
      <c r="V484" s="306">
        <f t="shared" ca="1" si="206"/>
        <v>1.0340777228985432</v>
      </c>
      <c r="W484" s="304">
        <f t="shared" ca="1" si="207"/>
        <v>12.974538148409414</v>
      </c>
      <c r="Y484" s="314" t="str">
        <f t="shared" ca="1" si="225"/>
        <v/>
      </c>
      <c r="Z484" s="315" t="str">
        <f t="shared" ca="1" si="226"/>
        <v/>
      </c>
      <c r="AA484" s="316" t="str">
        <f t="shared" ca="1" si="227"/>
        <v/>
      </c>
      <c r="AC484" s="310">
        <f t="shared" ca="1" si="228"/>
        <v>11.999999999999931</v>
      </c>
      <c r="AD484" s="323">
        <f t="shared" ca="1" si="229"/>
        <v>220.97658164892709</v>
      </c>
      <c r="AE484" s="324">
        <f t="shared" ca="1" si="208"/>
        <v>1690.2674499971729</v>
      </c>
      <c r="AG484" s="306">
        <f t="shared" ca="1" si="230"/>
        <v>-11.762779292226927</v>
      </c>
      <c r="AH484" s="304">
        <f t="shared" ca="1" si="231"/>
        <v>-2.1787815809545399</v>
      </c>
    </row>
    <row r="485" spans="1:34" x14ac:dyDescent="0.2">
      <c r="A485" s="347">
        <f t="shared" ca="1" si="209"/>
        <v>0.1</v>
      </c>
      <c r="B485" s="304">
        <f t="shared" ca="1" si="210"/>
        <v>12.09999999999993</v>
      </c>
      <c r="D485" s="306">
        <f t="shared" ca="1" si="211"/>
        <v>-0.45596937972017765</v>
      </c>
      <c r="E485" s="307">
        <f t="shared" ca="1" si="212"/>
        <v>-11.86911448385332</v>
      </c>
      <c r="F485" s="304">
        <f t="shared" ca="1" si="213"/>
        <v>11.877869619845937</v>
      </c>
      <c r="G485" s="306">
        <f t="shared" ca="1" si="214"/>
        <v>15.804417199106039</v>
      </c>
      <c r="H485" s="307">
        <f t="shared" ca="1" si="215"/>
        <v>70.390249498181277</v>
      </c>
      <c r="I485" s="304">
        <f t="shared" ca="1" si="216"/>
        <v>72.142683810762179</v>
      </c>
      <c r="J485" s="306">
        <f t="shared" ca="1" si="217"/>
        <v>222.55930321573629</v>
      </c>
      <c r="K485" s="307">
        <f t="shared" ca="1" si="218"/>
        <v>1697.3658205194104</v>
      </c>
      <c r="L485" s="304">
        <f t="shared" ca="1" si="203"/>
        <v>1711.8946731955812</v>
      </c>
      <c r="M485" s="306">
        <f t="shared" ca="1" si="219"/>
        <v>1.3499334142908797</v>
      </c>
      <c r="N485" s="304">
        <f t="shared" ca="1" si="220"/>
        <v>77.345487262552652</v>
      </c>
      <c r="P485" s="310">
        <f t="shared" ca="1" si="221"/>
        <v>23</v>
      </c>
      <c r="Q485" s="304">
        <f t="shared" ca="1" si="222"/>
        <v>0</v>
      </c>
      <c r="R485" s="306">
        <f t="shared" ca="1" si="223"/>
        <v>0</v>
      </c>
      <c r="S485" s="307">
        <f t="shared" ca="1" si="224"/>
        <v>6.1519999999999921</v>
      </c>
      <c r="T485" s="304">
        <f t="shared" ca="1" si="204"/>
        <v>60.351119999999923</v>
      </c>
      <c r="U485" s="311">
        <f t="shared" ca="1" si="205"/>
        <v>0</v>
      </c>
      <c r="V485" s="306">
        <f t="shared" ca="1" si="206"/>
        <v>1.033338657573825</v>
      </c>
      <c r="W485" s="304">
        <f t="shared" ca="1" si="207"/>
        <v>12.555293808882858</v>
      </c>
      <c r="Y485" s="314" t="str">
        <f t="shared" ca="1" si="225"/>
        <v/>
      </c>
      <c r="Z485" s="315" t="str">
        <f t="shared" ca="1" si="226"/>
        <v/>
      </c>
      <c r="AA485" s="316" t="str">
        <f t="shared" ca="1" si="227"/>
        <v/>
      </c>
      <c r="AC485" s="310" t="e">
        <f t="shared" ca="1" si="228"/>
        <v>#N/A</v>
      </c>
      <c r="AD485" s="323" t="e">
        <f t="shared" ca="1" si="229"/>
        <v>#N/A</v>
      </c>
      <c r="AE485" s="324">
        <f t="shared" ca="1" si="208"/>
        <v>1697.3658205194104</v>
      </c>
      <c r="AG485" s="306">
        <f t="shared" ca="1" si="230"/>
        <v>-11.686975025426594</v>
      </c>
      <c r="AH485" s="304">
        <f t="shared" ca="1" si="231"/>
        <v>-2.1089951476608308</v>
      </c>
    </row>
    <row r="486" spans="1:34" x14ac:dyDescent="0.2">
      <c r="A486" s="347">
        <f t="shared" ca="1" si="209"/>
        <v>0.1</v>
      </c>
      <c r="B486" s="304">
        <f t="shared" ca="1" si="210"/>
        <v>12.19999999999993</v>
      </c>
      <c r="D486" s="306">
        <f t="shared" ca="1" si="211"/>
        <v>-0.44709184074437097</v>
      </c>
      <c r="E486" s="307">
        <f t="shared" ca="1" si="212"/>
        <v>-11.801272808236012</v>
      </c>
      <c r="F486" s="304">
        <f t="shared" ca="1" si="213"/>
        <v>11.809738820501954</v>
      </c>
      <c r="G486" s="306">
        <f t="shared" ca="1" si="214"/>
        <v>15.759708015031602</v>
      </c>
      <c r="H486" s="307">
        <f t="shared" ca="1" si="215"/>
        <v>69.210122217357679</v>
      </c>
      <c r="I486" s="304">
        <f t="shared" ca="1" si="216"/>
        <v>70.981754092588034</v>
      </c>
      <c r="J486" s="306">
        <f t="shared" ca="1" si="217"/>
        <v>224.13750947644317</v>
      </c>
      <c r="K486" s="307">
        <f t="shared" ca="1" si="218"/>
        <v>1704.3458391051872</v>
      </c>
      <c r="L486" s="304">
        <f t="shared" ca="1" si="203"/>
        <v>1719.0207568349683</v>
      </c>
      <c r="M486" s="306">
        <f t="shared" ca="1" si="219"/>
        <v>1.3469057401306008</v>
      </c>
      <c r="N486" s="304">
        <f t="shared" ca="1" si="220"/>
        <v>77.172014311427859</v>
      </c>
      <c r="P486" s="310">
        <f t="shared" ca="1" si="221"/>
        <v>23</v>
      </c>
      <c r="Q486" s="304">
        <f t="shared" ca="1" si="222"/>
        <v>0</v>
      </c>
      <c r="R486" s="306">
        <f t="shared" ca="1" si="223"/>
        <v>0</v>
      </c>
      <c r="S486" s="307">
        <f t="shared" ca="1" si="224"/>
        <v>6.1519999999999921</v>
      </c>
      <c r="T486" s="304">
        <f t="shared" ca="1" si="204"/>
        <v>60.351119999999923</v>
      </c>
      <c r="U486" s="311">
        <f t="shared" ca="1" si="205"/>
        <v>0</v>
      </c>
      <c r="V486" s="306">
        <f t="shared" ca="1" si="206"/>
        <v>1.0326123861662602</v>
      </c>
      <c r="W486" s="304">
        <f t="shared" ca="1" si="207"/>
        <v>12.145919514052766</v>
      </c>
      <c r="Y486" s="314" t="str">
        <f t="shared" ca="1" si="225"/>
        <v/>
      </c>
      <c r="Z486" s="315" t="str">
        <f t="shared" ca="1" si="226"/>
        <v/>
      </c>
      <c r="AA486" s="316" t="str">
        <f t="shared" ca="1" si="227"/>
        <v/>
      </c>
      <c r="AC486" s="310" t="e">
        <f t="shared" ca="1" si="228"/>
        <v>#N/A</v>
      </c>
      <c r="AD486" s="323" t="e">
        <f t="shared" ca="1" si="229"/>
        <v>#N/A</v>
      </c>
      <c r="AE486" s="324">
        <f t="shared" ca="1" si="208"/>
        <v>1704.3458391051872</v>
      </c>
      <c r="AG486" s="306">
        <f t="shared" ca="1" si="230"/>
        <v>-11.612550560813752</v>
      </c>
      <c r="AH486" s="304">
        <f t="shared" ca="1" si="231"/>
        <v>-2.040847498192925</v>
      </c>
    </row>
    <row r="487" spans="1:34" x14ac:dyDescent="0.2">
      <c r="A487" s="347">
        <f t="shared" ca="1" si="209"/>
        <v>0.1</v>
      </c>
      <c r="B487" s="304">
        <f t="shared" ca="1" si="210"/>
        <v>12.29999999999993</v>
      </c>
      <c r="D487" s="306">
        <f t="shared" ca="1" si="211"/>
        <v>-0.43834444944917017</v>
      </c>
      <c r="E487" s="307">
        <f t="shared" ca="1" si="212"/>
        <v>-11.735027601446752</v>
      </c>
      <c r="F487" s="304">
        <f t="shared" ca="1" si="213"/>
        <v>11.743211599178482</v>
      </c>
      <c r="G487" s="306">
        <f t="shared" ca="1" si="214"/>
        <v>15.715873570086686</v>
      </c>
      <c r="H487" s="307">
        <f t="shared" ca="1" si="215"/>
        <v>68.036619457213007</v>
      </c>
      <c r="I487" s="304">
        <f t="shared" ca="1" si="216"/>
        <v>69.828148115473923</v>
      </c>
      <c r="J487" s="306">
        <f t="shared" ca="1" si="217"/>
        <v>225.7112885556991</v>
      </c>
      <c r="K487" s="307">
        <f t="shared" ca="1" si="218"/>
        <v>1711.2081761889158</v>
      </c>
      <c r="L487" s="304">
        <f t="shared" ca="1" si="203"/>
        <v>1726.0298398455543</v>
      </c>
      <c r="M487" s="306">
        <f t="shared" ca="1" si="219"/>
        <v>1.3437865587717883</v>
      </c>
      <c r="N487" s="304">
        <f t="shared" ca="1" si="220"/>
        <v>76.99329838403203</v>
      </c>
      <c r="P487" s="310">
        <f t="shared" ca="1" si="221"/>
        <v>23</v>
      </c>
      <c r="Q487" s="304">
        <f t="shared" ca="1" si="222"/>
        <v>0</v>
      </c>
      <c r="R487" s="306">
        <f t="shared" ca="1" si="223"/>
        <v>0</v>
      </c>
      <c r="S487" s="307">
        <f t="shared" ca="1" si="224"/>
        <v>6.1519999999999921</v>
      </c>
      <c r="T487" s="304">
        <f t="shared" ca="1" si="204"/>
        <v>60.351119999999923</v>
      </c>
      <c r="U487" s="311">
        <f t="shared" ca="1" si="205"/>
        <v>0</v>
      </c>
      <c r="V487" s="306">
        <f t="shared" ca="1" si="206"/>
        <v>1.0318988147669832</v>
      </c>
      <c r="W487" s="304">
        <f t="shared" ca="1" si="207"/>
        <v>11.746210422675475</v>
      </c>
      <c r="Y487" s="314" t="str">
        <f t="shared" ca="1" si="225"/>
        <v/>
      </c>
      <c r="Z487" s="315" t="str">
        <f t="shared" ca="1" si="226"/>
        <v/>
      </c>
      <c r="AA487" s="316" t="str">
        <f t="shared" ca="1" si="227"/>
        <v/>
      </c>
      <c r="AC487" s="310" t="e">
        <f t="shared" ca="1" si="228"/>
        <v>#N/A</v>
      </c>
      <c r="AD487" s="323" t="e">
        <f t="shared" ca="1" si="229"/>
        <v>#N/A</v>
      </c>
      <c r="AE487" s="324">
        <f t="shared" ca="1" si="208"/>
        <v>1711.2081761889158</v>
      </c>
      <c r="AG487" s="306">
        <f t="shared" ca="1" si="230"/>
        <v>-11.539456660723099</v>
      </c>
      <c r="AH487" s="304">
        <f t="shared" ca="1" si="231"/>
        <v>-1.974304212297266</v>
      </c>
    </row>
    <row r="488" spans="1:34" x14ac:dyDescent="0.2">
      <c r="A488" s="347">
        <f t="shared" ca="1" si="209"/>
        <v>0.1</v>
      </c>
      <c r="B488" s="304">
        <f t="shared" ca="1" si="210"/>
        <v>12.399999999999929</v>
      </c>
      <c r="D488" s="306">
        <f t="shared" ca="1" si="211"/>
        <v>-0.42972384374466621</v>
      </c>
      <c r="E488" s="307">
        <f t="shared" ca="1" si="212"/>
        <v>-11.670345687954365</v>
      </c>
      <c r="F488" s="304">
        <f t="shared" ca="1" si="213"/>
        <v>11.678254623797073</v>
      </c>
      <c r="G488" s="306">
        <f t="shared" ca="1" si="214"/>
        <v>15.672901185712218</v>
      </c>
      <c r="H488" s="307">
        <f t="shared" ca="1" si="215"/>
        <v>66.869584888417577</v>
      </c>
      <c r="I488" s="304">
        <f t="shared" ca="1" si="216"/>
        <v>68.681738582583819</v>
      </c>
      <c r="J488" s="306">
        <f t="shared" ca="1" si="217"/>
        <v>227.28072729348904</v>
      </c>
      <c r="K488" s="307">
        <f t="shared" ca="1" si="218"/>
        <v>1717.9534864061973</v>
      </c>
      <c r="L488" s="304">
        <f t="shared" ca="1" si="203"/>
        <v>1732.9225921703098</v>
      </c>
      <c r="M488" s="306">
        <f t="shared" ca="1" si="219"/>
        <v>1.3405718881809663</v>
      </c>
      <c r="N488" s="304">
        <f t="shared" ca="1" si="220"/>
        <v>76.809111326653095</v>
      </c>
      <c r="P488" s="310">
        <f t="shared" ca="1" si="221"/>
        <v>23</v>
      </c>
      <c r="Q488" s="304">
        <f t="shared" ca="1" si="222"/>
        <v>0</v>
      </c>
      <c r="R488" s="306">
        <f t="shared" ca="1" si="223"/>
        <v>0</v>
      </c>
      <c r="S488" s="307">
        <f t="shared" ca="1" si="224"/>
        <v>6.1519999999999921</v>
      </c>
      <c r="T488" s="304">
        <f t="shared" ca="1" si="204"/>
        <v>60.351119999999923</v>
      </c>
      <c r="U488" s="311">
        <f t="shared" ca="1" si="205"/>
        <v>0</v>
      </c>
      <c r="V488" s="306">
        <f t="shared" ca="1" si="206"/>
        <v>1.0311978517299207</v>
      </c>
      <c r="W488" s="304">
        <f t="shared" ca="1" si="207"/>
        <v>11.35596836521086</v>
      </c>
      <c r="Y488" s="314" t="str">
        <f t="shared" ca="1" si="225"/>
        <v/>
      </c>
      <c r="Z488" s="315" t="str">
        <f t="shared" ca="1" si="226"/>
        <v/>
      </c>
      <c r="AA488" s="316" t="str">
        <f t="shared" ca="1" si="227"/>
        <v/>
      </c>
      <c r="AC488" s="310" t="e">
        <f t="shared" ca="1" si="228"/>
        <v>#N/A</v>
      </c>
      <c r="AD488" s="323" t="e">
        <f t="shared" ca="1" si="229"/>
        <v>#N/A</v>
      </c>
      <c r="AE488" s="324">
        <f t="shared" ca="1" si="208"/>
        <v>1717.9534864061973</v>
      </c>
      <c r="AG488" s="306">
        <f t="shared" ca="1" si="230"/>
        <v>-11.46764414802476</v>
      </c>
      <c r="AH488" s="304">
        <f t="shared" ca="1" si="231"/>
        <v>-1.9093319932827519</v>
      </c>
    </row>
    <row r="489" spans="1:34" x14ac:dyDescent="0.2">
      <c r="A489" s="347">
        <f t="shared" ca="1" si="209"/>
        <v>0.1</v>
      </c>
      <c r="B489" s="304">
        <f t="shared" ca="1" si="210"/>
        <v>12.499999999999929</v>
      </c>
      <c r="D489" s="306">
        <f t="shared" ca="1" si="211"/>
        <v>-0.42122676867535064</v>
      </c>
      <c r="E489" s="307">
        <f t="shared" ca="1" si="212"/>
        <v>-11.607194969294397</v>
      </c>
      <c r="F489" s="304">
        <f t="shared" ca="1" si="213"/>
        <v>11.614835644375766</v>
      </c>
      <c r="G489" s="306">
        <f t="shared" ca="1" si="214"/>
        <v>15.630778508844683</v>
      </c>
      <c r="H489" s="307">
        <f t="shared" ca="1" si="215"/>
        <v>65.708865391488132</v>
      </c>
      <c r="I489" s="304">
        <f t="shared" ca="1" si="216"/>
        <v>67.542403183698369</v>
      </c>
      <c r="J489" s="306">
        <f t="shared" ca="1" si="217"/>
        <v>228.84591127821687</v>
      </c>
      <c r="K489" s="307">
        <f t="shared" ca="1" si="218"/>
        <v>1724.5824089201926</v>
      </c>
      <c r="L489" s="304">
        <f t="shared" ca="1" si="203"/>
        <v>1739.699668409962</v>
      </c>
      <c r="M489" s="306">
        <f t="shared" ca="1" si="219"/>
        <v>1.3372575149790482</v>
      </c>
      <c r="N489" s="304">
        <f t="shared" ca="1" si="220"/>
        <v>76.619211730451923</v>
      </c>
      <c r="P489" s="310">
        <f t="shared" ca="1" si="221"/>
        <v>23</v>
      </c>
      <c r="Q489" s="304">
        <f t="shared" ca="1" si="222"/>
        <v>0</v>
      </c>
      <c r="R489" s="306">
        <f t="shared" ca="1" si="223"/>
        <v>0</v>
      </c>
      <c r="S489" s="307">
        <f t="shared" ca="1" si="224"/>
        <v>6.1519999999999921</v>
      </c>
      <c r="T489" s="304">
        <f t="shared" ca="1" si="204"/>
        <v>60.351119999999923</v>
      </c>
      <c r="U489" s="311">
        <f t="shared" ca="1" si="205"/>
        <v>0</v>
      </c>
      <c r="V489" s="306">
        <f t="shared" ca="1" si="206"/>
        <v>1.0305094076229711</v>
      </c>
      <c r="W489" s="304">
        <f t="shared" ca="1" si="207"/>
        <v>10.975001613756694</v>
      </c>
      <c r="Y489" s="314" t="str">
        <f t="shared" ca="1" si="225"/>
        <v/>
      </c>
      <c r="Z489" s="315" t="str">
        <f t="shared" ca="1" si="226"/>
        <v/>
      </c>
      <c r="AA489" s="316" t="str">
        <f t="shared" ca="1" si="227"/>
        <v/>
      </c>
      <c r="AC489" s="310" t="e">
        <f t="shared" ca="1" si="228"/>
        <v>#N/A</v>
      </c>
      <c r="AD489" s="323" t="e">
        <f t="shared" ca="1" si="229"/>
        <v>#N/A</v>
      </c>
      <c r="AE489" s="324">
        <f t="shared" ca="1" si="208"/>
        <v>1724.5824089201926</v>
      </c>
      <c r="AG489" s="306">
        <f t="shared" ca="1" si="230"/>
        <v>-11.397063775499182</v>
      </c>
      <c r="AH489" s="304">
        <f t="shared" ca="1" si="231"/>
        <v>-1.8458986289354478</v>
      </c>
    </row>
    <row r="490" spans="1:34" x14ac:dyDescent="0.2">
      <c r="A490" s="347">
        <f t="shared" ca="1" si="209"/>
        <v>0.1</v>
      </c>
      <c r="B490" s="304">
        <f t="shared" ca="1" si="210"/>
        <v>12.599999999999929</v>
      </c>
      <c r="D490" s="306">
        <f t="shared" ca="1" si="211"/>
        <v>-0.41285007339472013</v>
      </c>
      <c r="E490" s="307">
        <f t="shared" ca="1" si="212"/>
        <v>-11.54554438662216</v>
      </c>
      <c r="F490" s="304">
        <f t="shared" ca="1" si="213"/>
        <v>11.552923455410085</v>
      </c>
      <c r="G490" s="306">
        <f t="shared" ca="1" si="214"/>
        <v>15.589493501505212</v>
      </c>
      <c r="H490" s="307">
        <f t="shared" ca="1" si="215"/>
        <v>64.554310952825915</v>
      </c>
      <c r="I490" s="304">
        <f t="shared" ca="1" si="216"/>
        <v>66.41002462149531</v>
      </c>
      <c r="J490" s="306">
        <f t="shared" ca="1" si="217"/>
        <v>230.40692487873437</v>
      </c>
      <c r="K490" s="307">
        <f t="shared" ca="1" si="218"/>
        <v>1731.0955677374084</v>
      </c>
      <c r="L490" s="304">
        <f t="shared" ca="1" si="203"/>
        <v>1746.3617081441562</v>
      </c>
      <c r="M490" s="306">
        <f t="shared" ca="1" si="219"/>
        <v>1.3338389777633979</v>
      </c>
      <c r="N490" s="304">
        <f t="shared" ca="1" si="220"/>
        <v>76.423343975886766</v>
      </c>
      <c r="P490" s="310">
        <f t="shared" ca="1" si="221"/>
        <v>23</v>
      </c>
      <c r="Q490" s="304">
        <f t="shared" ca="1" si="222"/>
        <v>0</v>
      </c>
      <c r="R490" s="306">
        <f t="shared" ca="1" si="223"/>
        <v>0</v>
      </c>
      <c r="S490" s="307">
        <f t="shared" ca="1" si="224"/>
        <v>6.1519999999999921</v>
      </c>
      <c r="T490" s="304">
        <f t="shared" ca="1" si="204"/>
        <v>60.351119999999923</v>
      </c>
      <c r="U490" s="311">
        <f t="shared" ca="1" si="205"/>
        <v>0</v>
      </c>
      <c r="V490" s="306">
        <f t="shared" ca="1" si="206"/>
        <v>1.0298333951808105</v>
      </c>
      <c r="W490" s="304">
        <f t="shared" ca="1" si="207"/>
        <v>10.603124661876237</v>
      </c>
      <c r="Y490" s="314" t="str">
        <f t="shared" ca="1" si="225"/>
        <v/>
      </c>
      <c r="Z490" s="315" t="str">
        <f t="shared" ca="1" si="226"/>
        <v/>
      </c>
      <c r="AA490" s="316" t="str">
        <f t="shared" ca="1" si="227"/>
        <v/>
      </c>
      <c r="AC490" s="310" t="e">
        <f t="shared" ca="1" si="228"/>
        <v>#N/A</v>
      </c>
      <c r="AD490" s="323" t="e">
        <f t="shared" ca="1" si="229"/>
        <v>#N/A</v>
      </c>
      <c r="AE490" s="324">
        <f t="shared" ca="1" si="208"/>
        <v>1731.0955677374084</v>
      </c>
      <c r="AG490" s="306">
        <f t="shared" ca="1" si="230"/>
        <v>-11.327666087712725</v>
      </c>
      <c r="AH490" s="304">
        <f t="shared" ca="1" si="231"/>
        <v>-1.7839729541217015</v>
      </c>
    </row>
    <row r="491" spans="1:34" x14ac:dyDescent="0.2">
      <c r="A491" s="347">
        <f t="shared" ca="1" si="209"/>
        <v>0.1</v>
      </c>
      <c r="B491" s="304">
        <f t="shared" ca="1" si="210"/>
        <v>12.699999999999928</v>
      </c>
      <c r="D491" s="306">
        <f t="shared" ca="1" si="211"/>
        <v>-0.40459070834946148</v>
      </c>
      <c r="E491" s="307">
        <f t="shared" ca="1" si="212"/>
        <v>-11.485363884842922</v>
      </c>
      <c r="F491" s="304">
        <f t="shared" ca="1" si="213"/>
        <v>11.492487859838565</v>
      </c>
      <c r="G491" s="306">
        <f t="shared" ca="1" si="214"/>
        <v>15.549034430670265</v>
      </c>
      <c r="H491" s="307">
        <f t="shared" ca="1" si="215"/>
        <v>63.40577456434162</v>
      </c>
      <c r="I491" s="304">
        <f t="shared" ca="1" si="216"/>
        <v>65.284490653066129</v>
      </c>
      <c r="J491" s="306">
        <f t="shared" ca="1" si="217"/>
        <v>231.96385127534316</v>
      </c>
      <c r="K491" s="307">
        <f t="shared" ca="1" si="218"/>
        <v>1737.4935720132667</v>
      </c>
      <c r="L491" s="304">
        <f t="shared" ca="1" si="203"/>
        <v>1752.9093362424396</v>
      </c>
      <c r="M491" s="306">
        <f t="shared" ca="1" si="219"/>
        <v>1.3303115489996813</v>
      </c>
      <c r="N491" s="304">
        <f t="shared" ca="1" si="220"/>
        <v>76.221237195192757</v>
      </c>
      <c r="P491" s="310">
        <f t="shared" ca="1" si="221"/>
        <v>23</v>
      </c>
      <c r="Q491" s="304">
        <f t="shared" ca="1" si="222"/>
        <v>0</v>
      </c>
      <c r="R491" s="306">
        <f t="shared" ca="1" si="223"/>
        <v>0</v>
      </c>
      <c r="S491" s="307">
        <f t="shared" ca="1" si="224"/>
        <v>6.1519999999999921</v>
      </c>
      <c r="T491" s="304">
        <f t="shared" ca="1" si="204"/>
        <v>60.351119999999923</v>
      </c>
      <c r="U491" s="311">
        <f t="shared" ca="1" si="205"/>
        <v>0</v>
      </c>
      <c r="V491" s="306">
        <f t="shared" ca="1" si="206"/>
        <v>1.0291697292592579</v>
      </c>
      <c r="W491" s="304">
        <f t="shared" ca="1" si="207"/>
        <v>10.240158013851717</v>
      </c>
      <c r="Y491" s="314" t="str">
        <f t="shared" ca="1" si="225"/>
        <v/>
      </c>
      <c r="Z491" s="315" t="str">
        <f t="shared" ca="1" si="226"/>
        <v/>
      </c>
      <c r="AA491" s="316" t="str">
        <f t="shared" ca="1" si="227"/>
        <v/>
      </c>
      <c r="AC491" s="310" t="e">
        <f t="shared" ca="1" si="228"/>
        <v>#N/A</v>
      </c>
      <c r="AD491" s="323" t="e">
        <f t="shared" ca="1" si="229"/>
        <v>#N/A</v>
      </c>
      <c r="AE491" s="324">
        <f t="shared" ca="1" si="208"/>
        <v>1737.4935720132667</v>
      </c>
      <c r="AG491" s="306">
        <f t="shared" ca="1" si="230"/>
        <v>-11.259401274262824</v>
      </c>
      <c r="AH491" s="304">
        <f t="shared" ca="1" si="231"/>
        <v>-1.7235248149993905</v>
      </c>
    </row>
    <row r="492" spans="1:34" x14ac:dyDescent="0.2">
      <c r="A492" s="347">
        <f t="shared" ca="1" si="209"/>
        <v>0.1</v>
      </c>
      <c r="B492" s="304">
        <f t="shared" ca="1" si="210"/>
        <v>12.799999999999928</v>
      </c>
      <c r="D492" s="306">
        <f t="shared" ca="1" si="211"/>
        <v>-0.3964457226718221</v>
      </c>
      <c r="E492" s="307">
        <f t="shared" ca="1" si="212"/>
        <v>-11.426624378240795</v>
      </c>
      <c r="F492" s="304">
        <f t="shared" ca="1" si="213"/>
        <v>11.433499634513995</v>
      </c>
      <c r="G492" s="306">
        <f t="shared" ca="1" si="214"/>
        <v>15.509389858403082</v>
      </c>
      <c r="H492" s="307">
        <f t="shared" ca="1" si="215"/>
        <v>62.263112126517541</v>
      </c>
      <c r="I492" s="304">
        <f t="shared" ca="1" si="216"/>
        <v>64.165694147723769</v>
      </c>
      <c r="J492" s="306">
        <f t="shared" ca="1" si="217"/>
        <v>233.51677248979684</v>
      </c>
      <c r="K492" s="307">
        <f t="shared" ca="1" si="218"/>
        <v>1743.7770163478096</v>
      </c>
      <c r="L492" s="304">
        <f t="shared" ca="1" si="203"/>
        <v>1759.3431631654244</v>
      </c>
      <c r="M492" s="306">
        <f t="shared" ca="1" si="219"/>
        <v>1.3266702153423493</v>
      </c>
      <c r="N492" s="304">
        <f t="shared" ca="1" si="220"/>
        <v>76.012604144828686</v>
      </c>
      <c r="P492" s="310">
        <f t="shared" ca="1" si="221"/>
        <v>23</v>
      </c>
      <c r="Q492" s="304">
        <f t="shared" ca="1" si="222"/>
        <v>0</v>
      </c>
      <c r="R492" s="306">
        <f t="shared" ca="1" si="223"/>
        <v>0</v>
      </c>
      <c r="S492" s="307">
        <f t="shared" ca="1" si="224"/>
        <v>6.1519999999999921</v>
      </c>
      <c r="T492" s="304">
        <f t="shared" ca="1" si="204"/>
        <v>60.351119999999923</v>
      </c>
      <c r="U492" s="311">
        <f t="shared" ca="1" si="205"/>
        <v>0</v>
      </c>
      <c r="V492" s="306">
        <f t="shared" ca="1" si="206"/>
        <v>1.0285183267911511</v>
      </c>
      <c r="W492" s="304">
        <f t="shared" ca="1" si="207"/>
        <v>9.8859279829218796</v>
      </c>
      <c r="Y492" s="314" t="str">
        <f t="shared" ca="1" si="225"/>
        <v/>
      </c>
      <c r="Z492" s="315" t="str">
        <f t="shared" ca="1" si="226"/>
        <v/>
      </c>
      <c r="AA492" s="316" t="str">
        <f t="shared" ca="1" si="227"/>
        <v/>
      </c>
      <c r="AC492" s="310" t="e">
        <f t="shared" ca="1" si="228"/>
        <v>#N/A</v>
      </c>
      <c r="AD492" s="323" t="e">
        <f t="shared" ca="1" si="229"/>
        <v>#N/A</v>
      </c>
      <c r="AE492" s="324">
        <f t="shared" ca="1" si="208"/>
        <v>1743.7770163478096</v>
      </c>
      <c r="AG492" s="306">
        <f t="shared" ca="1" si="230"/>
        <v>-11.192219013131648</v>
      </c>
      <c r="AH492" s="304">
        <f t="shared" ca="1" si="231"/>
        <v>-1.6645250347613345</v>
      </c>
    </row>
    <row r="493" spans="1:34" x14ac:dyDescent="0.2">
      <c r="A493" s="347">
        <f t="shared" ca="1" si="209"/>
        <v>0.1</v>
      </c>
      <c r="B493" s="304">
        <f t="shared" ca="1" si="210"/>
        <v>12.899999999999928</v>
      </c>
      <c r="D493" s="306">
        <f t="shared" ca="1" si="211"/>
        <v>-0.38841226177987359</v>
      </c>
      <c r="E493" s="307">
        <f t="shared" ca="1" si="212"/>
        <v>-11.369297717531529</v>
      </c>
      <c r="F493" s="304">
        <f t="shared" ca="1" si="213"/>
        <v>11.375930497105218</v>
      </c>
      <c r="G493" s="306">
        <f t="shared" ca="1" si="214"/>
        <v>15.470548632225094</v>
      </c>
      <c r="H493" s="307">
        <f t="shared" ca="1" si="215"/>
        <v>61.126182354764389</v>
      </c>
      <c r="I493" s="304">
        <f t="shared" ca="1" si="216"/>
        <v>63.053533162305435</v>
      </c>
      <c r="J493" s="306">
        <f t="shared" ca="1" si="217"/>
        <v>235.06576941432826</v>
      </c>
      <c r="K493" s="307">
        <f t="shared" ca="1" si="218"/>
        <v>1749.9464810718737</v>
      </c>
      <c r="L493" s="304">
        <f t="shared" ca="1" si="203"/>
        <v>1765.6637852564636</v>
      </c>
      <c r="M493" s="306">
        <f t="shared" ca="1" si="219"/>
        <v>1.3229096562269884</v>
      </c>
      <c r="N493" s="304">
        <f t="shared" ca="1" si="220"/>
        <v>75.797139978909058</v>
      </c>
      <c r="P493" s="310">
        <f t="shared" ca="1" si="221"/>
        <v>23</v>
      </c>
      <c r="Q493" s="304">
        <f t="shared" ca="1" si="222"/>
        <v>0</v>
      </c>
      <c r="R493" s="306">
        <f t="shared" ca="1" si="223"/>
        <v>0</v>
      </c>
      <c r="S493" s="307">
        <f t="shared" ca="1" si="224"/>
        <v>6.1519999999999921</v>
      </c>
      <c r="T493" s="304">
        <f t="shared" ca="1" si="204"/>
        <v>60.351119999999923</v>
      </c>
      <c r="U493" s="311">
        <f t="shared" ca="1" si="205"/>
        <v>0</v>
      </c>
      <c r="V493" s="306">
        <f t="shared" ca="1" si="206"/>
        <v>1.0278791067436777</v>
      </c>
      <c r="W493" s="304">
        <f t="shared" ca="1" si="207"/>
        <v>9.5402664980851206</v>
      </c>
      <c r="Y493" s="314" t="str">
        <f t="shared" ca="1" si="225"/>
        <v/>
      </c>
      <c r="Z493" s="315" t="str">
        <f t="shared" ca="1" si="226"/>
        <v/>
      </c>
      <c r="AA493" s="316" t="str">
        <f t="shared" ca="1" si="227"/>
        <v/>
      </c>
      <c r="AC493" s="310" t="e">
        <f t="shared" ca="1" si="228"/>
        <v>#N/A</v>
      </c>
      <c r="AD493" s="323" t="e">
        <f t="shared" ca="1" si="229"/>
        <v>#N/A</v>
      </c>
      <c r="AE493" s="324">
        <f t="shared" ca="1" si="208"/>
        <v>1749.9464810718737</v>
      </c>
      <c r="AG493" s="306">
        <f t="shared" ca="1" si="230"/>
        <v>-11.126068302737737</v>
      </c>
      <c r="AH493" s="304">
        <f t="shared" ca="1" si="231"/>
        <v>-1.6069453808390592</v>
      </c>
    </row>
    <row r="494" spans="1:34" x14ac:dyDescent="0.2">
      <c r="A494" s="347">
        <f t="shared" ca="1" si="209"/>
        <v>0.1</v>
      </c>
      <c r="B494" s="304">
        <f t="shared" ca="1" si="210"/>
        <v>12.999999999999927</v>
      </c>
      <c r="D494" s="306">
        <f t="shared" ca="1" si="211"/>
        <v>-0.38048756518651139</v>
      </c>
      <c r="E494" s="307">
        <f t="shared" ca="1" si="212"/>
        <v>-11.313356658267775</v>
      </c>
      <c r="F494" s="304">
        <f t="shared" ca="1" si="213"/>
        <v>11.319753074357822</v>
      </c>
      <c r="G494" s="306">
        <f t="shared" ca="1" si="214"/>
        <v>15.432499875706444</v>
      </c>
      <c r="H494" s="307">
        <f t="shared" ca="1" si="215"/>
        <v>59.994846688937614</v>
      </c>
      <c r="I494" s="304">
        <f t="shared" ca="1" si="216"/>
        <v>61.947911035343296</v>
      </c>
      <c r="J494" s="306">
        <f t="shared" ca="1" si="217"/>
        <v>236.61092183972482</v>
      </c>
      <c r="K494" s="307">
        <f t="shared" ca="1" si="218"/>
        <v>1756.0025325240588</v>
      </c>
      <c r="L494" s="304">
        <f t="shared" ca="1" si="203"/>
        <v>1771.871785024174</v>
      </c>
      <c r="M494" s="306">
        <f t="shared" ca="1" si="219"/>
        <v>1.3190242205603011</v>
      </c>
      <c r="N494" s="304">
        <f t="shared" ca="1" si="220"/>
        <v>75.574520913638281</v>
      </c>
      <c r="P494" s="310">
        <f t="shared" ca="1" si="221"/>
        <v>23</v>
      </c>
      <c r="Q494" s="304">
        <f t="shared" ca="1" si="222"/>
        <v>0</v>
      </c>
      <c r="R494" s="306">
        <f t="shared" ca="1" si="223"/>
        <v>0</v>
      </c>
      <c r="S494" s="307">
        <f t="shared" ca="1" si="224"/>
        <v>6.1519999999999921</v>
      </c>
      <c r="T494" s="304">
        <f t="shared" ca="1" si="204"/>
        <v>60.351119999999923</v>
      </c>
      <c r="U494" s="311">
        <f t="shared" ca="1" si="205"/>
        <v>0</v>
      </c>
      <c r="V494" s="306">
        <f t="shared" ca="1" si="206"/>
        <v>1.027251990077112</v>
      </c>
      <c r="W494" s="304">
        <f t="shared" ca="1" si="207"/>
        <v>9.2030109190723124</v>
      </c>
      <c r="Y494" s="314" t="str">
        <f t="shared" ca="1" si="225"/>
        <v/>
      </c>
      <c r="Z494" s="315" t="str">
        <f t="shared" ca="1" si="226"/>
        <v/>
      </c>
      <c r="AA494" s="316" t="str">
        <f t="shared" ca="1" si="227"/>
        <v/>
      </c>
      <c r="AC494" s="310">
        <f t="shared" ca="1" si="228"/>
        <v>12.999999999999927</v>
      </c>
      <c r="AD494" s="323">
        <f t="shared" ca="1" si="229"/>
        <v>236.61092183972482</v>
      </c>
      <c r="AE494" s="324">
        <f t="shared" ca="1" si="208"/>
        <v>1756.0025325240588</v>
      </c>
      <c r="AG494" s="306">
        <f t="shared" ca="1" si="230"/>
        <v>-11.060897281103898</v>
      </c>
      <c r="AH494" s="304">
        <f t="shared" ca="1" si="231"/>
        <v>-1.5507585334988838</v>
      </c>
    </row>
    <row r="495" spans="1:34" x14ac:dyDescent="0.2">
      <c r="A495" s="347">
        <f t="shared" ca="1" si="209"/>
        <v>0.1</v>
      </c>
      <c r="B495" s="304">
        <f t="shared" ca="1" si="210"/>
        <v>13.099999999999927</v>
      </c>
      <c r="D495" s="306">
        <f t="shared" ca="1" si="211"/>
        <v>-0.37266896451926701</v>
      </c>
      <c r="E495" s="307">
        <f t="shared" ca="1" si="212"/>
        <v>-11.258774830528557</v>
      </c>
      <c r="F495" s="304">
        <f t="shared" ca="1" si="213"/>
        <v>11.264940871645052</v>
      </c>
      <c r="G495" s="306">
        <f t="shared" ca="1" si="214"/>
        <v>15.395232979254518</v>
      </c>
      <c r="H495" s="307">
        <f t="shared" ca="1" si="215"/>
        <v>58.86896920588476</v>
      </c>
      <c r="I495" s="304">
        <f t="shared" ca="1" si="216"/>
        <v>60.848736501663979</v>
      </c>
      <c r="J495" s="306">
        <f t="shared" ca="1" si="217"/>
        <v>238.15230848247288</v>
      </c>
      <c r="K495" s="307">
        <f t="shared" ca="1" si="218"/>
        <v>1761.9457233188</v>
      </c>
      <c r="L495" s="304">
        <f t="shared" ca="1" si="203"/>
        <v>1777.9677314161077</v>
      </c>
      <c r="M495" s="306">
        <f t="shared" ca="1" si="219"/>
        <v>1.3150079013138707</v>
      </c>
      <c r="N495" s="304">
        <f t="shared" ca="1" si="220"/>
        <v>75.344402771640659</v>
      </c>
      <c r="P495" s="310">
        <f t="shared" ca="1" si="221"/>
        <v>23</v>
      </c>
      <c r="Q495" s="304">
        <f t="shared" ca="1" si="222"/>
        <v>0</v>
      </c>
      <c r="R495" s="306">
        <f t="shared" ca="1" si="223"/>
        <v>0</v>
      </c>
      <c r="S495" s="307">
        <f t="shared" ca="1" si="224"/>
        <v>6.1519999999999921</v>
      </c>
      <c r="T495" s="304">
        <f t="shared" ca="1" si="204"/>
        <v>60.351119999999923</v>
      </c>
      <c r="U495" s="311">
        <f t="shared" ca="1" si="205"/>
        <v>0</v>
      </c>
      <c r="V495" s="306">
        <f t="shared" ca="1" si="206"/>
        <v>1.0266368997049069</v>
      </c>
      <c r="W495" s="304">
        <f t="shared" ca="1" si="207"/>
        <v>8.8740038591141417</v>
      </c>
      <c r="Y495" s="314" t="str">
        <f t="shared" ca="1" si="225"/>
        <v/>
      </c>
      <c r="Z495" s="315" t="str">
        <f t="shared" ca="1" si="226"/>
        <v/>
      </c>
      <c r="AA495" s="316" t="str">
        <f t="shared" ca="1" si="227"/>
        <v/>
      </c>
      <c r="AC495" s="310" t="e">
        <f t="shared" ca="1" si="228"/>
        <v>#N/A</v>
      </c>
      <c r="AD495" s="323" t="e">
        <f t="shared" ca="1" si="229"/>
        <v>#N/A</v>
      </c>
      <c r="AE495" s="324">
        <f t="shared" ca="1" si="208"/>
        <v>1761.9457233188</v>
      </c>
      <c r="AG495" s="306">
        <f t="shared" ca="1" si="230"/>
        <v>-10.996653030362808</v>
      </c>
      <c r="AH495" s="304">
        <f t="shared" ca="1" si="231"/>
        <v>-1.4959380557659825</v>
      </c>
    </row>
    <row r="496" spans="1:34" x14ac:dyDescent="0.2">
      <c r="A496" s="347">
        <f t="shared" ca="1" si="209"/>
        <v>0.1</v>
      </c>
      <c r="B496" s="304">
        <f t="shared" ca="1" si="210"/>
        <v>13.199999999999926</v>
      </c>
      <c r="D496" s="306">
        <f t="shared" ca="1" si="211"/>
        <v>-0.36495388175433668</v>
      </c>
      <c r="E496" s="307">
        <f t="shared" ca="1" si="212"/>
        <v>-11.205526709827325</v>
      </c>
      <c r="F496" s="304">
        <f t="shared" ca="1" si="213"/>
        <v>11.211468243743152</v>
      </c>
      <c r="G496" s="306">
        <f t="shared" ca="1" si="214"/>
        <v>15.358737591079084</v>
      </c>
      <c r="H496" s="307">
        <f t="shared" ca="1" si="215"/>
        <v>57.748416534902027</v>
      </c>
      <c r="I496" s="304">
        <f t="shared" ca="1" si="216"/>
        <v>59.755923829191794</v>
      </c>
      <c r="J496" s="306">
        <f t="shared" ca="1" si="217"/>
        <v>239.69000701098955</v>
      </c>
      <c r="K496" s="307">
        <f t="shared" ca="1" si="218"/>
        <v>1767.7765926058394</v>
      </c>
      <c r="L496" s="304">
        <f t="shared" ca="1" si="203"/>
        <v>1783.9521800838834</v>
      </c>
      <c r="M496" s="306">
        <f t="shared" ca="1" si="219"/>
        <v>1.3108543078058819</v>
      </c>
      <c r="N496" s="304">
        <f t="shared" ca="1" si="220"/>
        <v>75.106419393819948</v>
      </c>
      <c r="P496" s="310">
        <f t="shared" ca="1" si="221"/>
        <v>23</v>
      </c>
      <c r="Q496" s="304">
        <f t="shared" ca="1" si="222"/>
        <v>0</v>
      </c>
      <c r="R496" s="306">
        <f t="shared" ca="1" si="223"/>
        <v>0</v>
      </c>
      <c r="S496" s="307">
        <f t="shared" ca="1" si="224"/>
        <v>6.1519999999999921</v>
      </c>
      <c r="T496" s="304">
        <f t="shared" ca="1" si="204"/>
        <v>60.351119999999923</v>
      </c>
      <c r="U496" s="311">
        <f t="shared" ca="1" si="205"/>
        <v>0</v>
      </c>
      <c r="V496" s="306">
        <f t="shared" ca="1" si="206"/>
        <v>1.0260337604550989</v>
      </c>
      <c r="W496" s="304">
        <f t="shared" ca="1" si="207"/>
        <v>8.5530930151476916</v>
      </c>
      <c r="Y496" s="314" t="str">
        <f t="shared" ca="1" si="225"/>
        <v/>
      </c>
      <c r="Z496" s="315" t="str">
        <f t="shared" ca="1" si="226"/>
        <v/>
      </c>
      <c r="AA496" s="316" t="str">
        <f t="shared" ca="1" si="227"/>
        <v/>
      </c>
      <c r="AC496" s="310" t="e">
        <f t="shared" ca="1" si="228"/>
        <v>#N/A</v>
      </c>
      <c r="AD496" s="323" t="e">
        <f t="shared" ca="1" si="229"/>
        <v>#N/A</v>
      </c>
      <c r="AE496" s="324">
        <f t="shared" ca="1" si="208"/>
        <v>1767.7765926058394</v>
      </c>
      <c r="AG496" s="306">
        <f t="shared" ca="1" si="230"/>
        <v>-10.933281364595674</v>
      </c>
      <c r="AH496" s="304">
        <f t="shared" ca="1" si="231"/>
        <v>-1.4424583646154345</v>
      </c>
    </row>
    <row r="497" spans="1:34" x14ac:dyDescent="0.2">
      <c r="A497" s="347">
        <f t="shared" ca="1" si="209"/>
        <v>0.1</v>
      </c>
      <c r="B497" s="304">
        <f t="shared" ca="1" si="210"/>
        <v>13.299999999999926</v>
      </c>
      <c r="D497" s="306">
        <f t="shared" ca="1" si="211"/>
        <v>-0.35733982766967398</v>
      </c>
      <c r="E497" s="307">
        <f t="shared" ca="1" si="212"/>
        <v>-11.15358758917559</v>
      </c>
      <c r="F497" s="304">
        <f t="shared" ca="1" si="213"/>
        <v>11.159310366767775</v>
      </c>
      <c r="G497" s="306">
        <f t="shared" ca="1" si="214"/>
        <v>15.323003608312117</v>
      </c>
      <c r="H497" s="307">
        <f t="shared" ca="1" si="215"/>
        <v>56.633057775984469</v>
      </c>
      <c r="I497" s="304">
        <f t="shared" ca="1" si="216"/>
        <v>58.669392979971605</v>
      </c>
      <c r="J497" s="306">
        <f t="shared" ca="1" si="217"/>
        <v>241.2240940709591</v>
      </c>
      <c r="K497" s="307">
        <f t="shared" ca="1" si="218"/>
        <v>1773.4956663213836</v>
      </c>
      <c r="L497" s="304">
        <f t="shared" ca="1" si="203"/>
        <v>1789.8256736400569</v>
      </c>
      <c r="M497" s="306">
        <f t="shared" ca="1" si="219"/>
        <v>1.3065566354302887</v>
      </c>
      <c r="N497" s="304">
        <f t="shared" ca="1" si="220"/>
        <v>74.860180904968502</v>
      </c>
      <c r="P497" s="310">
        <f t="shared" ca="1" si="221"/>
        <v>23</v>
      </c>
      <c r="Q497" s="304">
        <f t="shared" ca="1" si="222"/>
        <v>0</v>
      </c>
      <c r="R497" s="306">
        <f t="shared" ca="1" si="223"/>
        <v>0</v>
      </c>
      <c r="S497" s="307">
        <f t="shared" ca="1" si="224"/>
        <v>6.1519999999999921</v>
      </c>
      <c r="T497" s="304">
        <f t="shared" ca="1" si="204"/>
        <v>60.351119999999923</v>
      </c>
      <c r="U497" s="311">
        <f t="shared" ca="1" si="205"/>
        <v>0</v>
      </c>
      <c r="V497" s="306">
        <f t="shared" ca="1" si="206"/>
        <v>1.0254424990329774</v>
      </c>
      <c r="W497" s="304">
        <f t="shared" ca="1" si="207"/>
        <v>8.2401310051255301</v>
      </c>
      <c r="Y497" s="314" t="str">
        <f t="shared" ca="1" si="225"/>
        <v/>
      </c>
      <c r="Z497" s="315" t="str">
        <f t="shared" ca="1" si="226"/>
        <v/>
      </c>
      <c r="AA497" s="316" t="str">
        <f t="shared" ca="1" si="227"/>
        <v/>
      </c>
      <c r="AC497" s="310" t="e">
        <f t="shared" ca="1" si="228"/>
        <v>#N/A</v>
      </c>
      <c r="AD497" s="323" t="e">
        <f t="shared" ca="1" si="229"/>
        <v>#N/A</v>
      </c>
      <c r="AE497" s="324">
        <f t="shared" ca="1" si="208"/>
        <v>1773.4956663213836</v>
      </c>
      <c r="AG497" s="306">
        <f t="shared" ca="1" si="230"/>
        <v>-10.870726598739481</v>
      </c>
      <c r="AH497" s="304">
        <f t="shared" ca="1" si="231"/>
        <v>-1.3902947033725135</v>
      </c>
    </row>
    <row r="498" spans="1:34" x14ac:dyDescent="0.2">
      <c r="A498" s="347">
        <f t="shared" ca="1" si="209"/>
        <v>0.1</v>
      </c>
      <c r="B498" s="304">
        <f t="shared" ca="1" si="210"/>
        <v>13.399999999999926</v>
      </c>
      <c r="D498" s="306">
        <f t="shared" ca="1" si="211"/>
        <v>-0.34982440052356911</v>
      </c>
      <c r="E498" s="307">
        <f t="shared" ca="1" si="212"/>
        <v>-11.102933552241247</v>
      </c>
      <c r="F498" s="304">
        <f t="shared" ca="1" si="213"/>
        <v>11.108443211210385</v>
      </c>
      <c r="G498" s="306">
        <f t="shared" ca="1" si="214"/>
        <v>15.28802116825976</v>
      </c>
      <c r="H498" s="307">
        <f t="shared" ca="1" si="215"/>
        <v>55.522764420760346</v>
      </c>
      <c r="I498" s="304">
        <f t="shared" ca="1" si="216"/>
        <v>57.589069797700404</v>
      </c>
      <c r="J498" s="306">
        <f t="shared" ca="1" si="217"/>
        <v>242.75464530978769</v>
      </c>
      <c r="K498" s="307">
        <f t="shared" ca="1" si="218"/>
        <v>1779.1034574312209</v>
      </c>
      <c r="L498" s="304">
        <f t="shared" ca="1" si="203"/>
        <v>1795.5887419070116</v>
      </c>
      <c r="M498" s="306">
        <f t="shared" ca="1" si="219"/>
        <v>1.3021076325652094</v>
      </c>
      <c r="N498" s="304">
        <f t="shared" ca="1" si="220"/>
        <v>74.605271817757853</v>
      </c>
      <c r="P498" s="310">
        <f t="shared" ca="1" si="221"/>
        <v>23</v>
      </c>
      <c r="Q498" s="304">
        <f t="shared" ca="1" si="222"/>
        <v>0</v>
      </c>
      <c r="R498" s="306">
        <f t="shared" ca="1" si="223"/>
        <v>0</v>
      </c>
      <c r="S498" s="307">
        <f t="shared" ca="1" si="224"/>
        <v>6.1519999999999921</v>
      </c>
      <c r="T498" s="304">
        <f t="shared" ca="1" si="204"/>
        <v>60.351119999999923</v>
      </c>
      <c r="U498" s="311">
        <f t="shared" ca="1" si="205"/>
        <v>0</v>
      </c>
      <c r="V498" s="306">
        <f t="shared" ca="1" si="206"/>
        <v>1.0248630439849797</v>
      </c>
      <c r="W498" s="304">
        <f t="shared" ca="1" si="207"/>
        <v>7.9349752121080703</v>
      </c>
      <c r="Y498" s="314" t="str">
        <f t="shared" ca="1" si="225"/>
        <v/>
      </c>
      <c r="Z498" s="315" t="str">
        <f t="shared" ca="1" si="226"/>
        <v/>
      </c>
      <c r="AA498" s="316" t="str">
        <f t="shared" ca="1" si="227"/>
        <v/>
      </c>
      <c r="AC498" s="310" t="e">
        <f t="shared" ca="1" si="228"/>
        <v>#N/A</v>
      </c>
      <c r="AD498" s="323" t="e">
        <f t="shared" ca="1" si="229"/>
        <v>#N/A</v>
      </c>
      <c r="AE498" s="324">
        <f t="shared" ca="1" si="208"/>
        <v>1779.1034574312209</v>
      </c>
      <c r="AG498" s="306">
        <f t="shared" ca="1" si="230"/>
        <v>-10.808931295999242</v>
      </c>
      <c r="AH498" s="304">
        <f t="shared" ca="1" si="231"/>
        <v>-1.3394231152674807</v>
      </c>
    </row>
    <row r="499" spans="1:34" x14ac:dyDescent="0.2">
      <c r="A499" s="347">
        <f t="shared" ca="1" si="209"/>
        <v>0.1</v>
      </c>
      <c r="B499" s="304">
        <f t="shared" ca="1" si="210"/>
        <v>13.499999999999925</v>
      </c>
      <c r="D499" s="306">
        <f t="shared" ca="1" si="211"/>
        <v>-0.34240528496688261</v>
      </c>
      <c r="E499" s="307">
        <f t="shared" ca="1" si="212"/>
        <v>-11.053541447542592</v>
      </c>
      <c r="F499" s="304">
        <f t="shared" ca="1" si="213"/>
        <v>11.058843516015372</v>
      </c>
      <c r="G499" s="306">
        <f t="shared" ca="1" si="214"/>
        <v>15.253780639763072</v>
      </c>
      <c r="H499" s="307">
        <f t="shared" ca="1" si="215"/>
        <v>54.417410276006088</v>
      </c>
      <c r="I499" s="304">
        <f t="shared" ca="1" si="216"/>
        <v>56.514886224367324</v>
      </c>
      <c r="J499" s="306">
        <f t="shared" ca="1" si="217"/>
        <v>244.28173540018884</v>
      </c>
      <c r="K499" s="307">
        <f t="shared" ca="1" si="218"/>
        <v>1784.6004661660593</v>
      </c>
      <c r="L499" s="304">
        <f t="shared" ca="1" si="203"/>
        <v>1801.2419021581316</v>
      </c>
      <c r="M499" s="306">
        <f t="shared" ca="1" si="219"/>
        <v>1.2974995643612044</v>
      </c>
      <c r="N499" s="304">
        <f t="shared" ca="1" si="220"/>
        <v>74.341248957959934</v>
      </c>
      <c r="P499" s="310">
        <f t="shared" ca="1" si="221"/>
        <v>23</v>
      </c>
      <c r="Q499" s="304">
        <f t="shared" ca="1" si="222"/>
        <v>0</v>
      </c>
      <c r="R499" s="306">
        <f t="shared" ca="1" si="223"/>
        <v>0</v>
      </c>
      <c r="S499" s="307">
        <f t="shared" ca="1" si="224"/>
        <v>6.1519999999999921</v>
      </c>
      <c r="T499" s="304">
        <f t="shared" ca="1" si="204"/>
        <v>60.351119999999923</v>
      </c>
      <c r="U499" s="311">
        <f t="shared" ca="1" si="205"/>
        <v>0</v>
      </c>
      <c r="V499" s="306">
        <f t="shared" ca="1" si="206"/>
        <v>1.0242953256637655</v>
      </c>
      <c r="W499" s="304">
        <f t="shared" ca="1" si="207"/>
        <v>7.6374876348364866</v>
      </c>
      <c r="Y499" s="314" t="str">
        <f t="shared" ca="1" si="225"/>
        <v/>
      </c>
      <c r="Z499" s="315" t="str">
        <f t="shared" ca="1" si="226"/>
        <v/>
      </c>
      <c r="AA499" s="316" t="str">
        <f t="shared" ca="1" si="227"/>
        <v/>
      </c>
      <c r="AC499" s="310" t="e">
        <f t="shared" ca="1" si="228"/>
        <v>#N/A</v>
      </c>
      <c r="AD499" s="323" t="e">
        <f t="shared" ca="1" si="229"/>
        <v>#N/A</v>
      </c>
      <c r="AE499" s="324">
        <f t="shared" ca="1" si="208"/>
        <v>1784.6004661660593</v>
      </c>
      <c r="AG499" s="306">
        <f t="shared" ca="1" si="230"/>
        <v>-10.747835990857261</v>
      </c>
      <c r="AH499" s="304">
        <f t="shared" ca="1" si="231"/>
        <v>-1.2898204180929911</v>
      </c>
    </row>
    <row r="500" spans="1:34" x14ac:dyDescent="0.2">
      <c r="A500" s="347">
        <f t="shared" ca="1" si="209"/>
        <v>0.1</v>
      </c>
      <c r="B500" s="304">
        <f t="shared" ca="1" si="210"/>
        <v>13.599999999999925</v>
      </c>
      <c r="D500" s="306">
        <f t="shared" ca="1" si="211"/>
        <v>-0.33508025119902496</v>
      </c>
      <c r="E500" s="307">
        <f t="shared" ca="1" si="212"/>
        <v>-11.005388863620617</v>
      </c>
      <c r="F500" s="304">
        <f t="shared" ca="1" si="213"/>
        <v>11.010488763640254</v>
      </c>
      <c r="G500" s="306">
        <f t="shared" ca="1" si="214"/>
        <v>15.22027261464317</v>
      </c>
      <c r="H500" s="307">
        <f t="shared" ca="1" si="215"/>
        <v>53.316871389644028</v>
      </c>
      <c r="I500" s="304">
        <f t="shared" ca="1" si="216"/>
        <v>55.446780548954315</v>
      </c>
      <c r="J500" s="306">
        <f t="shared" ca="1" si="217"/>
        <v>245.80543806290916</v>
      </c>
      <c r="K500" s="307">
        <f t="shared" ca="1" si="218"/>
        <v>1789.9871802493417</v>
      </c>
      <c r="L500" s="304">
        <f t="shared" ca="1" si="203"/>
        <v>1806.7856593515146</v>
      </c>
      <c r="M500" s="306">
        <f t="shared" ca="1" si="219"/>
        <v>1.2927241730751267</v>
      </c>
      <c r="N500" s="304">
        <f t="shared" ca="1" si="220"/>
        <v>74.067639191744135</v>
      </c>
      <c r="P500" s="310">
        <f t="shared" ca="1" si="221"/>
        <v>23</v>
      </c>
      <c r="Q500" s="304">
        <f t="shared" ca="1" si="222"/>
        <v>0</v>
      </c>
      <c r="R500" s="306">
        <f t="shared" ca="1" si="223"/>
        <v>0</v>
      </c>
      <c r="S500" s="307">
        <f t="shared" ca="1" si="224"/>
        <v>6.1519999999999921</v>
      </c>
      <c r="T500" s="304">
        <f t="shared" ca="1" si="204"/>
        <v>60.351119999999923</v>
      </c>
      <c r="U500" s="311">
        <f t="shared" ca="1" si="205"/>
        <v>0</v>
      </c>
      <c r="V500" s="306">
        <f t="shared" ca="1" si="206"/>
        <v>1.0237392761944384</v>
      </c>
      <c r="W500" s="304">
        <f t="shared" ca="1" si="207"/>
        <v>7.3475347444990309</v>
      </c>
      <c r="Y500" s="314" t="str">
        <f t="shared" ca="1" si="225"/>
        <v/>
      </c>
      <c r="Z500" s="315" t="str">
        <f t="shared" ca="1" si="226"/>
        <v/>
      </c>
      <c r="AA500" s="316" t="str">
        <f t="shared" ca="1" si="227"/>
        <v/>
      </c>
      <c r="AC500" s="310" t="e">
        <f t="shared" ca="1" si="228"/>
        <v>#N/A</v>
      </c>
      <c r="AD500" s="323" t="e">
        <f t="shared" ca="1" si="229"/>
        <v>#N/A</v>
      </c>
      <c r="AE500" s="324">
        <f t="shared" ca="1" si="208"/>
        <v>1789.9871802493417</v>
      </c>
      <c r="AG500" s="306">
        <f t="shared" ca="1" si="230"/>
        <v>-10.687378884374631</v>
      </c>
      <c r="AH500" s="304">
        <f t="shared" ca="1" si="231"/>
        <v>-1.2414641799149051</v>
      </c>
    </row>
    <row r="501" spans="1:34" x14ac:dyDescent="0.2">
      <c r="A501" s="347">
        <f t="shared" ca="1" si="209"/>
        <v>0.1</v>
      </c>
      <c r="B501" s="304">
        <f t="shared" ca="1" si="210"/>
        <v>13.699999999999925</v>
      </c>
      <c r="D501" s="306">
        <f t="shared" ca="1" si="211"/>
        <v>-0.3278471543799264</v>
      </c>
      <c r="E501" s="307">
        <f t="shared" ca="1" si="212"/>
        <v>-10.958454105133328</v>
      </c>
      <c r="F501" s="304">
        <f t="shared" ca="1" si="213"/>
        <v>10.963357156042509</v>
      </c>
      <c r="G501" s="306">
        <f t="shared" ca="1" si="214"/>
        <v>15.187487899205177</v>
      </c>
      <c r="H501" s="307">
        <f t="shared" ca="1" si="215"/>
        <v>52.221025979130694</v>
      </c>
      <c r="I501" s="304">
        <f t="shared" ca="1" si="216"/>
        <v>54.384697691552411</v>
      </c>
      <c r="J501" s="306">
        <f t="shared" ca="1" si="217"/>
        <v>247.32582608860159</v>
      </c>
      <c r="K501" s="307">
        <f t="shared" ca="1" si="218"/>
        <v>1795.2640751177805</v>
      </c>
      <c r="L501" s="304">
        <f t="shared" ca="1" si="203"/>
        <v>1812.2205063564722</v>
      </c>
      <c r="M501" s="306">
        <f t="shared" ca="1" si="219"/>
        <v>1.287772634575959</v>
      </c>
      <c r="N501" s="304">
        <f t="shared" ca="1" si="220"/>
        <v>73.783936933645279</v>
      </c>
      <c r="P501" s="310">
        <f t="shared" ca="1" si="221"/>
        <v>23</v>
      </c>
      <c r="Q501" s="304">
        <f t="shared" ca="1" si="222"/>
        <v>0</v>
      </c>
      <c r="R501" s="306">
        <f t="shared" ca="1" si="223"/>
        <v>0</v>
      </c>
      <c r="S501" s="307">
        <f t="shared" ca="1" si="224"/>
        <v>6.1519999999999921</v>
      </c>
      <c r="T501" s="304">
        <f t="shared" ca="1" si="204"/>
        <v>60.351119999999923</v>
      </c>
      <c r="U501" s="311">
        <f t="shared" ca="1" si="205"/>
        <v>0</v>
      </c>
      <c r="V501" s="306">
        <f t="shared" ca="1" si="206"/>
        <v>1.0231948294418729</v>
      </c>
      <c r="W501" s="304">
        <f t="shared" ca="1" si="207"/>
        <v>7.064987347418227</v>
      </c>
      <c r="Y501" s="314" t="str">
        <f t="shared" ca="1" si="225"/>
        <v/>
      </c>
      <c r="Z501" s="315" t="str">
        <f t="shared" ca="1" si="226"/>
        <v/>
      </c>
      <c r="AA501" s="316" t="str">
        <f t="shared" ca="1" si="227"/>
        <v/>
      </c>
      <c r="AC501" s="310" t="e">
        <f t="shared" ca="1" si="228"/>
        <v>#N/A</v>
      </c>
      <c r="AD501" s="323" t="e">
        <f t="shared" ca="1" si="229"/>
        <v>#N/A</v>
      </c>
      <c r="AE501" s="324">
        <f t="shared" ca="1" si="208"/>
        <v>1795.2640751177805</v>
      </c>
      <c r="AG501" s="306">
        <f t="shared" ca="1" si="230"/>
        <v>-10.627495508022253</v>
      </c>
      <c r="AH501" s="304">
        <f t="shared" ca="1" si="231"/>
        <v>-1.194332695789831</v>
      </c>
    </row>
    <row r="502" spans="1:34" x14ac:dyDescent="0.2">
      <c r="A502" s="347">
        <f t="shared" ca="1" si="209"/>
        <v>0.1</v>
      </c>
      <c r="B502" s="304">
        <f t="shared" ca="1" si="210"/>
        <v>13.799999999999924</v>
      </c>
      <c r="D502" s="306">
        <f t="shared" ca="1" si="211"/>
        <v>-0.32070393431264244</v>
      </c>
      <c r="E502" s="307">
        <f t="shared" ca="1" si="212"/>
        <v>-10.912716169816761</v>
      </c>
      <c r="F502" s="304">
        <f t="shared" ca="1" si="213"/>
        <v>10.917427591537477</v>
      </c>
      <c r="G502" s="306">
        <f t="shared" ca="1" si="214"/>
        <v>15.155417505773913</v>
      </c>
      <c r="H502" s="307">
        <f t="shared" ca="1" si="215"/>
        <v>51.129754362149015</v>
      </c>
      <c r="I502" s="304">
        <f t="shared" ca="1" si="216"/>
        <v>53.328589526707098</v>
      </c>
      <c r="J502" s="306">
        <f t="shared" ca="1" si="217"/>
        <v>248.84297135885055</v>
      </c>
      <c r="K502" s="307">
        <f t="shared" ca="1" si="218"/>
        <v>1800.4316141348445</v>
      </c>
      <c r="L502" s="304">
        <f t="shared" ca="1" si="203"/>
        <v>1817.5469241730468</v>
      </c>
      <c r="M502" s="306">
        <f t="shared" ca="1" si="219"/>
        <v>1.2826355106049256</v>
      </c>
      <c r="N502" s="304">
        <f t="shared" ca="1" si="220"/>
        <v>73.489601411269589</v>
      </c>
      <c r="P502" s="310">
        <f t="shared" ca="1" si="221"/>
        <v>23</v>
      </c>
      <c r="Q502" s="304">
        <f t="shared" ca="1" si="222"/>
        <v>0</v>
      </c>
      <c r="R502" s="306">
        <f t="shared" ca="1" si="223"/>
        <v>0</v>
      </c>
      <c r="S502" s="307">
        <f t="shared" ca="1" si="224"/>
        <v>6.1519999999999921</v>
      </c>
      <c r="T502" s="304">
        <f t="shared" ca="1" si="204"/>
        <v>60.351119999999923</v>
      </c>
      <c r="U502" s="311">
        <f t="shared" ca="1" si="205"/>
        <v>0</v>
      </c>
      <c r="V502" s="306">
        <f t="shared" ca="1" si="206"/>
        <v>1.0226619209791079</v>
      </c>
      <c r="W502" s="304">
        <f t="shared" ca="1" si="207"/>
        <v>6.7897204534002169</v>
      </c>
      <c r="Y502" s="314" t="str">
        <f t="shared" ca="1" si="225"/>
        <v/>
      </c>
      <c r="Z502" s="315" t="str">
        <f t="shared" ca="1" si="226"/>
        <v/>
      </c>
      <c r="AA502" s="316" t="str">
        <f t="shared" ca="1" si="227"/>
        <v/>
      </c>
      <c r="AC502" s="310" t="e">
        <f t="shared" ca="1" si="228"/>
        <v>#N/A</v>
      </c>
      <c r="AD502" s="323" t="e">
        <f t="shared" ca="1" si="229"/>
        <v>#N/A</v>
      </c>
      <c r="AE502" s="324">
        <f t="shared" ca="1" si="208"/>
        <v>1800.4316141348445</v>
      </c>
      <c r="AG502" s="306">
        <f t="shared" ca="1" si="230"/>
        <v>-10.568118351750194</v>
      </c>
      <c r="AH502" s="304">
        <f t="shared" ca="1" si="231"/>
        <v>-1.148404965445097</v>
      </c>
    </row>
    <row r="503" spans="1:34" x14ac:dyDescent="0.2">
      <c r="A503" s="347">
        <f t="shared" ca="1" si="209"/>
        <v>0.1</v>
      </c>
      <c r="B503" s="304">
        <f t="shared" ca="1" si="210"/>
        <v>13.899999999999924</v>
      </c>
      <c r="D503" s="306">
        <f t="shared" ca="1" si="211"/>
        <v>-0.31364861541395289</v>
      </c>
      <c r="E503" s="307">
        <f t="shared" ca="1" si="212"/>
        <v>-10.868154726257714</v>
      </c>
      <c r="F503" s="304">
        <f t="shared" ca="1" si="213"/>
        <v>10.87267964247218</v>
      </c>
      <c r="G503" s="306">
        <f t="shared" ca="1" si="214"/>
        <v>15.124052644232519</v>
      </c>
      <c r="H503" s="307">
        <f t="shared" ca="1" si="215"/>
        <v>50.042938889523242</v>
      </c>
      <c r="I503" s="304">
        <f t="shared" ca="1" si="216"/>
        <v>52.278415250331321</v>
      </c>
      <c r="J503" s="306">
        <f t="shared" ca="1" si="217"/>
        <v>250.35694486635086</v>
      </c>
      <c r="K503" s="307">
        <f t="shared" ca="1" si="218"/>
        <v>1805.4902487974282</v>
      </c>
      <c r="L503" s="304">
        <f t="shared" ca="1" si="203"/>
        <v>1822.7653821447816</v>
      </c>
      <c r="M503" s="306">
        <f t="shared" ca="1" si="219"/>
        <v>1.2773026963226424</v>
      </c>
      <c r="N503" s="304">
        <f t="shared" ca="1" si="220"/>
        <v>73.18405365996766</v>
      </c>
      <c r="P503" s="310">
        <f t="shared" ca="1" si="221"/>
        <v>23</v>
      </c>
      <c r="Q503" s="304">
        <f t="shared" ca="1" si="222"/>
        <v>0</v>
      </c>
      <c r="R503" s="306">
        <f t="shared" ca="1" si="223"/>
        <v>0</v>
      </c>
      <c r="S503" s="307">
        <f t="shared" ca="1" si="224"/>
        <v>6.1519999999999921</v>
      </c>
      <c r="T503" s="304">
        <f t="shared" ca="1" si="204"/>
        <v>60.351119999999923</v>
      </c>
      <c r="U503" s="311">
        <f t="shared" ca="1" si="205"/>
        <v>0</v>
      </c>
      <c r="V503" s="306">
        <f t="shared" ca="1" si="206"/>
        <v>1.0221404880567797</v>
      </c>
      <c r="W503" s="304">
        <f t="shared" ca="1" si="207"/>
        <v>6.5216131495005936</v>
      </c>
      <c r="Y503" s="314" t="str">
        <f t="shared" ca="1" si="225"/>
        <v/>
      </c>
      <c r="Z503" s="315" t="str">
        <f t="shared" ca="1" si="226"/>
        <v/>
      </c>
      <c r="AA503" s="316" t="str">
        <f t="shared" ca="1" si="227"/>
        <v/>
      </c>
      <c r="AC503" s="310" t="e">
        <f t="shared" ca="1" si="228"/>
        <v>#N/A</v>
      </c>
      <c r="AD503" s="323" t="e">
        <f t="shared" ca="1" si="229"/>
        <v>#N/A</v>
      </c>
      <c r="AE503" s="324">
        <f t="shared" ca="1" si="208"/>
        <v>1805.4902487974282</v>
      </c>
      <c r="AG503" s="306">
        <f t="shared" ca="1" si="230"/>
        <v>-10.509176451393348</v>
      </c>
      <c r="AH503" s="304">
        <f t="shared" ca="1" si="231"/>
        <v>-1.1036606718791004</v>
      </c>
    </row>
    <row r="504" spans="1:34" x14ac:dyDescent="0.2">
      <c r="A504" s="347">
        <f t="shared" ca="1" si="209"/>
        <v>0.1</v>
      </c>
      <c r="B504" s="304">
        <f t="shared" ca="1" si="210"/>
        <v>13.999999999999924</v>
      </c>
      <c r="D504" s="306">
        <f t="shared" ca="1" si="211"/>
        <v>-0.30667930699335416</v>
      </c>
      <c r="E504" s="307">
        <f t="shared" ca="1" si="212"/>
        <v>-10.824750092423297</v>
      </c>
      <c r="F504" s="304">
        <f t="shared" ca="1" si="213"/>
        <v>10.829093533659966</v>
      </c>
      <c r="G504" s="306">
        <f t="shared" ca="1" si="214"/>
        <v>15.093384713533183</v>
      </c>
      <c r="H504" s="307">
        <f t="shared" ca="1" si="215"/>
        <v>48.960463880280912</v>
      </c>
      <c r="I504" s="304">
        <f t="shared" ca="1" si="216"/>
        <v>51.234141795125339</v>
      </c>
      <c r="J504" s="306">
        <f t="shared" ca="1" si="217"/>
        <v>251.86781673423914</v>
      </c>
      <c r="K504" s="307">
        <f t="shared" ca="1" si="218"/>
        <v>1810.4404189359184</v>
      </c>
      <c r="L504" s="304">
        <f t="shared" ca="1" si="203"/>
        <v>1827.876338164958</v>
      </c>
      <c r="M504" s="306">
        <f t="shared" ca="1" si="219"/>
        <v>1.2717633626204798</v>
      </c>
      <c r="N504" s="304">
        <f t="shared" ca="1" si="220"/>
        <v>72.866673217519178</v>
      </c>
      <c r="P504" s="310">
        <f t="shared" ca="1" si="221"/>
        <v>23</v>
      </c>
      <c r="Q504" s="304">
        <f t="shared" ca="1" si="222"/>
        <v>0</v>
      </c>
      <c r="R504" s="306">
        <f t="shared" ca="1" si="223"/>
        <v>0</v>
      </c>
      <c r="S504" s="307">
        <f t="shared" ca="1" si="224"/>
        <v>6.1519999999999921</v>
      </c>
      <c r="T504" s="304">
        <f t="shared" ca="1" si="204"/>
        <v>60.351119999999923</v>
      </c>
      <c r="U504" s="311">
        <f t="shared" ca="1" si="205"/>
        <v>0</v>
      </c>
      <c r="V504" s="306">
        <f t="shared" ca="1" si="206"/>
        <v>1.021630469573553</v>
      </c>
      <c r="W504" s="304">
        <f t="shared" ca="1" si="207"/>
        <v>6.2605484789732548</v>
      </c>
      <c r="Y504" s="314" t="str">
        <f t="shared" ca="1" si="225"/>
        <v/>
      </c>
      <c r="Z504" s="315" t="str">
        <f t="shared" ca="1" si="226"/>
        <v/>
      </c>
      <c r="AA504" s="316" t="str">
        <f t="shared" ca="1" si="227"/>
        <v/>
      </c>
      <c r="AC504" s="310">
        <f t="shared" ca="1" si="228"/>
        <v>13.999999999999924</v>
      </c>
      <c r="AD504" s="323">
        <f t="shared" ca="1" si="229"/>
        <v>251.86781673423914</v>
      </c>
      <c r="AE504" s="324">
        <f t="shared" ca="1" si="208"/>
        <v>1810.4404189359184</v>
      </c>
      <c r="AG504" s="306">
        <f t="shared" ca="1" si="230"/>
        <v>-10.450594929805218</v>
      </c>
      <c r="AH504" s="304">
        <f t="shared" ca="1" si="231"/>
        <v>-1.0600801608421004</v>
      </c>
    </row>
    <row r="505" spans="1:34" x14ac:dyDescent="0.2">
      <c r="A505" s="347">
        <f t="shared" ca="1" si="209"/>
        <v>0.1</v>
      </c>
      <c r="B505" s="304">
        <f t="shared" ca="1" si="210"/>
        <v>14.099999999999923</v>
      </c>
      <c r="D505" s="306">
        <f t="shared" ca="1" si="211"/>
        <v>-0.29979420386431771</v>
      </c>
      <c r="E505" s="307">
        <f t="shared" ca="1" si="212"/>
        <v>-10.782483214891867</v>
      </c>
      <c r="F505" s="304">
        <f t="shared" ca="1" si="213"/>
        <v>10.786650121520374</v>
      </c>
      <c r="G505" s="306">
        <f t="shared" ca="1" si="214"/>
        <v>15.063405293146751</v>
      </c>
      <c r="H505" s="307">
        <f t="shared" ca="1" si="215"/>
        <v>47.882215558791728</v>
      </c>
      <c r="I505" s="304">
        <f t="shared" ca="1" si="216"/>
        <v>50.195744300131636</v>
      </c>
      <c r="J505" s="306">
        <f t="shared" ca="1" si="217"/>
        <v>253.37565623457314</v>
      </c>
      <c r="K505" s="307">
        <f t="shared" ca="1" si="218"/>
        <v>1815.2825529078721</v>
      </c>
      <c r="L505" s="304">
        <f t="shared" ca="1" si="203"/>
        <v>1832.8802388765125</v>
      </c>
      <c r="M505" s="306">
        <f t="shared" ca="1" si="219"/>
        <v>1.2660058926110218</v>
      </c>
      <c r="N505" s="304">
        <f t="shared" ca="1" si="220"/>
        <v>72.536794485304085</v>
      </c>
      <c r="P505" s="310">
        <f t="shared" ca="1" si="221"/>
        <v>23</v>
      </c>
      <c r="Q505" s="304">
        <f t="shared" ca="1" si="222"/>
        <v>0</v>
      </c>
      <c r="R505" s="306">
        <f t="shared" ca="1" si="223"/>
        <v>0</v>
      </c>
      <c r="S505" s="307">
        <f t="shared" ca="1" si="224"/>
        <v>6.1519999999999921</v>
      </c>
      <c r="T505" s="304">
        <f t="shared" ca="1" si="204"/>
        <v>60.351119999999923</v>
      </c>
      <c r="U505" s="311">
        <f t="shared" ca="1" si="205"/>
        <v>0</v>
      </c>
      <c r="V505" s="306">
        <f t="shared" ca="1" si="206"/>
        <v>1.0211318060475241</v>
      </c>
      <c r="W505" s="304">
        <f t="shared" ca="1" si="207"/>
        <v>6.0064133251804357</v>
      </c>
      <c r="Y505" s="314" t="str">
        <f t="shared" ca="1" si="225"/>
        <v/>
      </c>
      <c r="Z505" s="315" t="str">
        <f t="shared" ca="1" si="226"/>
        <v/>
      </c>
      <c r="AA505" s="316" t="str">
        <f t="shared" ca="1" si="227"/>
        <v/>
      </c>
      <c r="AC505" s="310" t="e">
        <f t="shared" ca="1" si="228"/>
        <v>#N/A</v>
      </c>
      <c r="AD505" s="323" t="e">
        <f t="shared" ca="1" si="229"/>
        <v>#N/A</v>
      </c>
      <c r="AE505" s="324">
        <f t="shared" ca="1" si="208"/>
        <v>1815.2825529078721</v>
      </c>
      <c r="AG505" s="306">
        <f t="shared" ca="1" si="230"/>
        <v>-10.392294485294158</v>
      </c>
      <c r="AH505" s="304">
        <f t="shared" ca="1" si="231"/>
        <v>-1.017644421159503</v>
      </c>
    </row>
    <row r="506" spans="1:34" x14ac:dyDescent="0.2">
      <c r="A506" s="347">
        <f t="shared" ca="1" si="209"/>
        <v>0.1</v>
      </c>
      <c r="B506" s="304">
        <f t="shared" ca="1" si="210"/>
        <v>14.199999999999923</v>
      </c>
      <c r="D506" s="306">
        <f t="shared" ca="1" si="211"/>
        <v>-0.29299158731561126</v>
      </c>
      <c r="E506" s="307">
        <f t="shared" ca="1" si="212"/>
        <v>-10.741335648728866</v>
      </c>
      <c r="F506" s="304">
        <f t="shared" ca="1" si="213"/>
        <v>10.745330873867555</v>
      </c>
      <c r="G506" s="306">
        <f t="shared" ca="1" si="214"/>
        <v>15.03410613441519</v>
      </c>
      <c r="H506" s="307">
        <f t="shared" ca="1" si="215"/>
        <v>46.80808199391884</v>
      </c>
      <c r="I506" s="304">
        <f t="shared" ca="1" si="216"/>
        <v>49.163206640843612</v>
      </c>
      <c r="J506" s="306">
        <f t="shared" ca="1" si="217"/>
        <v>254.88053180595125</v>
      </c>
      <c r="K506" s="307">
        <f t="shared" ca="1" si="218"/>
        <v>1820.0170677855076</v>
      </c>
      <c r="L506" s="304">
        <f t="shared" ca="1" si="203"/>
        <v>1837.777519865841</v>
      </c>
      <c r="M506" s="306">
        <f t="shared" ca="1" si="219"/>
        <v>1.2600178116427749</v>
      </c>
      <c r="N506" s="304">
        <f t="shared" ca="1" si="220"/>
        <v>72.193702718440932</v>
      </c>
      <c r="P506" s="310">
        <f t="shared" ca="1" si="221"/>
        <v>23</v>
      </c>
      <c r="Q506" s="304">
        <f t="shared" ca="1" si="222"/>
        <v>0</v>
      </c>
      <c r="R506" s="306">
        <f t="shared" ca="1" si="223"/>
        <v>0</v>
      </c>
      <c r="S506" s="307">
        <f t="shared" ca="1" si="224"/>
        <v>6.1519999999999921</v>
      </c>
      <c r="T506" s="304">
        <f t="shared" ca="1" si="204"/>
        <v>60.351119999999923</v>
      </c>
      <c r="U506" s="311">
        <f t="shared" ca="1" si="205"/>
        <v>0</v>
      </c>
      <c r="V506" s="306">
        <f t="shared" ca="1" si="206"/>
        <v>1.0206444395885601</v>
      </c>
      <c r="W506" s="304">
        <f t="shared" ca="1" si="207"/>
        <v>5.7590983002528864</v>
      </c>
      <c r="Y506" s="314" t="str">
        <f t="shared" ca="1" si="225"/>
        <v/>
      </c>
      <c r="Z506" s="315" t="str">
        <f t="shared" ca="1" si="226"/>
        <v/>
      </c>
      <c r="AA506" s="316" t="str">
        <f t="shared" ca="1" si="227"/>
        <v/>
      </c>
      <c r="AC506" s="310" t="e">
        <f t="shared" ca="1" si="228"/>
        <v>#N/A</v>
      </c>
      <c r="AD506" s="323" t="e">
        <f t="shared" ca="1" si="229"/>
        <v>#N/A</v>
      </c>
      <c r="AE506" s="324">
        <f t="shared" ca="1" si="208"/>
        <v>1820.0170677855076</v>
      </c>
      <c r="AG506" s="306">
        <f t="shared" ca="1" si="230"/>
        <v>-10.334190819990022</v>
      </c>
      <c r="AH506" s="304">
        <f t="shared" ca="1" si="231"/>
        <v>-0.97633506586158048</v>
      </c>
    </row>
    <row r="507" spans="1:34" x14ac:dyDescent="0.2">
      <c r="A507" s="347">
        <f t="shared" ca="1" si="209"/>
        <v>0.1</v>
      </c>
      <c r="B507" s="304">
        <f t="shared" ca="1" si="210"/>
        <v>14.299999999999923</v>
      </c>
      <c r="D507" s="306">
        <f t="shared" ca="1" si="211"/>
        <v>-0.28626982647495536</v>
      </c>
      <c r="E507" s="307">
        <f t="shared" ca="1" si="212"/>
        <v>-10.701289537949366</v>
      </c>
      <c r="F507" s="304">
        <f t="shared" ca="1" si="213"/>
        <v>10.705117850288925</v>
      </c>
      <c r="G507" s="306">
        <f t="shared" ca="1" si="214"/>
        <v>15.005479151767695</v>
      </c>
      <c r="H507" s="307">
        <f t="shared" ca="1" si="215"/>
        <v>45.737953040123905</v>
      </c>
      <c r="I507" s="304">
        <f t="shared" ca="1" si="216"/>
        <v>48.13652202719588</v>
      </c>
      <c r="J507" s="306">
        <f t="shared" ca="1" si="217"/>
        <v>256.38251107026042</v>
      </c>
      <c r="K507" s="307">
        <f t="shared" ca="1" si="218"/>
        <v>1824.6443695372097</v>
      </c>
      <c r="L507" s="304">
        <f t="shared" ca="1" si="203"/>
        <v>1842.5686058506842</v>
      </c>
      <c r="M507" s="306">
        <f t="shared" ca="1" si="219"/>
        <v>1.2537857101063681</v>
      </c>
      <c r="N507" s="304">
        <f t="shared" ca="1" si="220"/>
        <v>71.83662960290782</v>
      </c>
      <c r="P507" s="310">
        <f t="shared" ca="1" si="221"/>
        <v>23</v>
      </c>
      <c r="Q507" s="304">
        <f t="shared" ca="1" si="222"/>
        <v>0</v>
      </c>
      <c r="R507" s="306">
        <f t="shared" ca="1" si="223"/>
        <v>0</v>
      </c>
      <c r="S507" s="307">
        <f t="shared" ca="1" si="224"/>
        <v>6.1519999999999921</v>
      </c>
      <c r="T507" s="304">
        <f t="shared" ca="1" si="204"/>
        <v>60.351119999999923</v>
      </c>
      <c r="U507" s="311">
        <f t="shared" ca="1" si="205"/>
        <v>0</v>
      </c>
      <c r="V507" s="306">
        <f t="shared" ca="1" si="206"/>
        <v>1.0201683138715465</v>
      </c>
      <c r="W507" s="304">
        <f t="shared" ca="1" si="207"/>
        <v>5.5184976382993938</v>
      </c>
      <c r="Y507" s="314" t="str">
        <f t="shared" ca="1" si="225"/>
        <v/>
      </c>
      <c r="Z507" s="315" t="str">
        <f t="shared" ca="1" si="226"/>
        <v/>
      </c>
      <c r="AA507" s="316" t="str">
        <f t="shared" ca="1" si="227"/>
        <v/>
      </c>
      <c r="AC507" s="310" t="e">
        <f t="shared" ca="1" si="228"/>
        <v>#N/A</v>
      </c>
      <c r="AD507" s="323" t="e">
        <f t="shared" ca="1" si="229"/>
        <v>#N/A</v>
      </c>
      <c r="AE507" s="324">
        <f t="shared" ca="1" si="208"/>
        <v>1824.6443695372097</v>
      </c>
      <c r="AG507" s="306">
        <f t="shared" ca="1" si="230"/>
        <v>-10.276193999672673</v>
      </c>
      <c r="AH507" s="304">
        <f t="shared" ca="1" si="231"/>
        <v>-0.93613431408532077</v>
      </c>
    </row>
    <row r="508" spans="1:34" x14ac:dyDescent="0.2">
      <c r="A508" s="347">
        <f t="shared" ca="1" si="209"/>
        <v>0.1</v>
      </c>
      <c r="B508" s="304">
        <f t="shared" ca="1" si="210"/>
        <v>14.399999999999922</v>
      </c>
      <c r="D508" s="306">
        <f t="shared" ca="1" si="211"/>
        <v>-0.27962738010241373</v>
      </c>
      <c r="E508" s="307">
        <f t="shared" ca="1" si="212"/>
        <v>-10.662327596506669</v>
      </c>
      <c r="F508" s="304">
        <f t="shared" ca="1" si="213"/>
        <v>10.665993683053193</v>
      </c>
      <c r="G508" s="306">
        <f t="shared" ca="1" si="214"/>
        <v>14.977516413757453</v>
      </c>
      <c r="H508" s="307">
        <f t="shared" ca="1" si="215"/>
        <v>44.671720280473238</v>
      </c>
      <c r="I508" s="304">
        <f t="shared" ca="1" si="216"/>
        <v>47.115693677809922</v>
      </c>
      <c r="J508" s="306">
        <f t="shared" ca="1" si="217"/>
        <v>257.88166084853668</v>
      </c>
      <c r="K508" s="307">
        <f t="shared" ca="1" si="218"/>
        <v>1829.1648532032395</v>
      </c>
      <c r="L508" s="304">
        <f t="shared" ca="1" si="203"/>
        <v>1847.2539108622909</v>
      </c>
      <c r="M508" s="306">
        <f t="shared" ca="1" si="219"/>
        <v>1.2472951582126826</v>
      </c>
      <c r="N508" s="304">
        <f t="shared" ca="1" si="220"/>
        <v>71.464748372688987</v>
      </c>
      <c r="P508" s="310">
        <f t="shared" ca="1" si="221"/>
        <v>23</v>
      </c>
      <c r="Q508" s="304">
        <f t="shared" ca="1" si="222"/>
        <v>0</v>
      </c>
      <c r="R508" s="306">
        <f t="shared" ca="1" si="223"/>
        <v>0</v>
      </c>
      <c r="S508" s="307">
        <f t="shared" ca="1" si="224"/>
        <v>6.1519999999999921</v>
      </c>
      <c r="T508" s="304">
        <f t="shared" ca="1" si="204"/>
        <v>60.351119999999923</v>
      </c>
      <c r="U508" s="311">
        <f t="shared" ca="1" si="205"/>
        <v>0</v>
      </c>
      <c r="V508" s="306">
        <f t="shared" ca="1" si="206"/>
        <v>1.0197033741105159</v>
      </c>
      <c r="W508" s="304">
        <f t="shared" ca="1" si="207"/>
        <v>5.2845090929745817</v>
      </c>
      <c r="Y508" s="314" t="str">
        <f t="shared" ca="1" si="225"/>
        <v/>
      </c>
      <c r="Z508" s="315" t="str">
        <f t="shared" ca="1" si="226"/>
        <v/>
      </c>
      <c r="AA508" s="316" t="str">
        <f t="shared" ca="1" si="227"/>
        <v/>
      </c>
      <c r="AC508" s="310" t="e">
        <f t="shared" ca="1" si="228"/>
        <v>#N/A</v>
      </c>
      <c r="AD508" s="323" t="e">
        <f t="shared" ca="1" si="229"/>
        <v>#N/A</v>
      </c>
      <c r="AE508" s="324">
        <f t="shared" ca="1" si="208"/>
        <v>1829.1648532032395</v>
      </c>
      <c r="AG508" s="306">
        <f t="shared" ca="1" si="230"/>
        <v>-10.2182077353228</v>
      </c>
      <c r="AH508" s="304">
        <f t="shared" ca="1" si="231"/>
        <v>-0.89702497371576739</v>
      </c>
    </row>
    <row r="509" spans="1:34" x14ac:dyDescent="0.2">
      <c r="A509" s="347">
        <f t="shared" ca="1" si="209"/>
        <v>0.1</v>
      </c>
      <c r="B509" s="304">
        <f t="shared" ca="1" si="210"/>
        <v>14.499999999999922</v>
      </c>
      <c r="D509" s="306">
        <f t="shared" ca="1" si="211"/>
        <v>-0.27306279885676576</v>
      </c>
      <c r="E509" s="307">
        <f t="shared" ca="1" si="212"/>
        <v>-10.624433089742974</v>
      </c>
      <c r="F509" s="304">
        <f t="shared" ca="1" si="213"/>
        <v>10.627941558483698</v>
      </c>
      <c r="G509" s="306">
        <f t="shared" ca="1" si="214"/>
        <v>14.950210133871776</v>
      </c>
      <c r="H509" s="307">
        <f t="shared" ca="1" si="215"/>
        <v>43.609276971498943</v>
      </c>
      <c r="I509" s="304">
        <f t="shared" ca="1" si="216"/>
        <v>46.100735580073234</v>
      </c>
      <c r="J509" s="306">
        <f t="shared" ca="1" si="217"/>
        <v>259.37804717591814</v>
      </c>
      <c r="K509" s="307">
        <f t="shared" ca="1" si="218"/>
        <v>1833.5789030658382</v>
      </c>
      <c r="L509" s="304">
        <f t="shared" ca="1" si="203"/>
        <v>1851.8338384220426</v>
      </c>
      <c r="M509" s="306">
        <f t="shared" ca="1" si="219"/>
        <v>1.2405306118269075</v>
      </c>
      <c r="N509" s="304">
        <f t="shared" ca="1" si="220"/>
        <v>71.0771684144636</v>
      </c>
      <c r="P509" s="310">
        <f t="shared" ca="1" si="221"/>
        <v>23</v>
      </c>
      <c r="Q509" s="304">
        <f t="shared" ca="1" si="222"/>
        <v>0</v>
      </c>
      <c r="R509" s="306">
        <f t="shared" ca="1" si="223"/>
        <v>0</v>
      </c>
      <c r="S509" s="307">
        <f t="shared" ca="1" si="224"/>
        <v>6.1519999999999921</v>
      </c>
      <c r="T509" s="304">
        <f t="shared" ca="1" si="204"/>
        <v>60.351119999999923</v>
      </c>
      <c r="U509" s="311">
        <f t="shared" ca="1" si="205"/>
        <v>0</v>
      </c>
      <c r="V509" s="306">
        <f t="shared" ca="1" si="206"/>
        <v>1.0192495670336252</v>
      </c>
      <c r="W509" s="304">
        <f t="shared" ca="1" si="207"/>
        <v>5.0570338392227558</v>
      </c>
      <c r="Y509" s="314" t="str">
        <f t="shared" ca="1" si="225"/>
        <v/>
      </c>
      <c r="Z509" s="315" t="str">
        <f t="shared" ca="1" si="226"/>
        <v/>
      </c>
      <c r="AA509" s="316" t="str">
        <f t="shared" ca="1" si="227"/>
        <v/>
      </c>
      <c r="AC509" s="310" t="e">
        <f t="shared" ca="1" si="228"/>
        <v>#N/A</v>
      </c>
      <c r="AD509" s="323" t="e">
        <f t="shared" ca="1" si="229"/>
        <v>#N/A</v>
      </c>
      <c r="AE509" s="324">
        <f t="shared" ca="1" si="208"/>
        <v>1833.5789030658382</v>
      </c>
      <c r="AG509" s="306">
        <f t="shared" ca="1" si="230"/>
        <v>-10.160128575182581</v>
      </c>
      <c r="AH509" s="304">
        <f t="shared" ca="1" si="231"/>
        <v>-0.85899042473579135</v>
      </c>
    </row>
    <row r="510" spans="1:34" x14ac:dyDescent="0.2">
      <c r="A510" s="347">
        <f t="shared" ca="1" si="209"/>
        <v>0.1</v>
      </c>
      <c r="B510" s="304">
        <f t="shared" ca="1" si="210"/>
        <v>14.599999999999921</v>
      </c>
      <c r="D510" s="306">
        <f t="shared" ca="1" si="211"/>
        <v>-0.26657472808482924</v>
      </c>
      <c r="E510" s="307">
        <f t="shared" ca="1" si="212"/>
        <v>-10.587589816233752</v>
      </c>
      <c r="F510" s="304">
        <f t="shared" ca="1" si="213"/>
        <v>10.590945198728495</v>
      </c>
      <c r="G510" s="306">
        <f t="shared" ca="1" si="214"/>
        <v>14.923552661063294</v>
      </c>
      <c r="H510" s="307">
        <f t="shared" ca="1" si="215"/>
        <v>42.550517989875566</v>
      </c>
      <c r="I510" s="304">
        <f t="shared" ca="1" si="216"/>
        <v>45.091673347018883</v>
      </c>
      <c r="J510" s="306">
        <f t="shared" ca="1" si="217"/>
        <v>260.87173531566492</v>
      </c>
      <c r="K510" s="307">
        <f t="shared" ca="1" si="218"/>
        <v>1837.8868928139068</v>
      </c>
      <c r="L510" s="304">
        <f t="shared" ca="1" si="203"/>
        <v>1856.3087817127202</v>
      </c>
      <c r="M510" s="306">
        <f t="shared" ca="1" si="219"/>
        <v>1.2334753083358876</v>
      </c>
      <c r="N510" s="304">
        <f t="shared" ca="1" si="220"/>
        <v>70.672929301244253</v>
      </c>
      <c r="P510" s="310">
        <f t="shared" ca="1" si="221"/>
        <v>23</v>
      </c>
      <c r="Q510" s="304">
        <f t="shared" ca="1" si="222"/>
        <v>0</v>
      </c>
      <c r="R510" s="306">
        <f t="shared" ca="1" si="223"/>
        <v>0</v>
      </c>
      <c r="S510" s="307">
        <f t="shared" ca="1" si="224"/>
        <v>6.1519999999999921</v>
      </c>
      <c r="T510" s="304">
        <f t="shared" ca="1" si="204"/>
        <v>60.351119999999923</v>
      </c>
      <c r="U510" s="311">
        <f t="shared" ca="1" si="205"/>
        <v>0</v>
      </c>
      <c r="V510" s="306">
        <f t="shared" ca="1" si="206"/>
        <v>1.0188068408589572</v>
      </c>
      <c r="W510" s="304">
        <f t="shared" ca="1" si="207"/>
        <v>4.8359763790242205</v>
      </c>
      <c r="Y510" s="314" t="str">
        <f t="shared" ca="1" si="225"/>
        <v/>
      </c>
      <c r="Z510" s="315" t="str">
        <f t="shared" ca="1" si="226"/>
        <v/>
      </c>
      <c r="AA510" s="316" t="str">
        <f t="shared" ca="1" si="227"/>
        <v/>
      </c>
      <c r="AC510" s="310" t="e">
        <f t="shared" ca="1" si="228"/>
        <v>#N/A</v>
      </c>
      <c r="AD510" s="323" t="e">
        <f t="shared" ca="1" si="229"/>
        <v>#N/A</v>
      </c>
      <c r="AE510" s="324">
        <f t="shared" ca="1" si="208"/>
        <v>1837.8868928139068</v>
      </c>
      <c r="AG510" s="306">
        <f t="shared" ca="1" si="230"/>
        <v>-10.101844994406214</v>
      </c>
      <c r="AH510" s="304">
        <f t="shared" ca="1" si="231"/>
        <v>-0.82201460325467524</v>
      </c>
    </row>
    <row r="511" spans="1:34" x14ac:dyDescent="0.2">
      <c r="A511" s="347">
        <f t="shared" ca="1" si="209"/>
        <v>0.1</v>
      </c>
      <c r="B511" s="304">
        <f t="shared" ca="1" si="210"/>
        <v>14.699999999999921</v>
      </c>
      <c r="D511" s="306">
        <f t="shared" ca="1" si="211"/>
        <v>-0.26016191119141213</v>
      </c>
      <c r="E511" s="307">
        <f t="shared" ca="1" si="212"/>
        <v>-10.551782089951889</v>
      </c>
      <c r="F511" s="304">
        <f t="shared" ca="1" si="213"/>
        <v>10.554988843853138</v>
      </c>
      <c r="G511" s="306">
        <f t="shared" ca="1" si="214"/>
        <v>14.897536469944153</v>
      </c>
      <c r="H511" s="307">
        <f t="shared" ca="1" si="215"/>
        <v>41.495339780880379</v>
      </c>
      <c r="I511" s="304">
        <f t="shared" ca="1" si="216"/>
        <v>44.088545183573814</v>
      </c>
      <c r="J511" s="306">
        <f t="shared" ca="1" si="217"/>
        <v>262.36278977221531</v>
      </c>
      <c r="K511" s="307">
        <f t="shared" ca="1" si="218"/>
        <v>1842.0891857024446</v>
      </c>
      <c r="L511" s="304">
        <f t="shared" ca="1" si="203"/>
        <v>1860.6791237445952</v>
      </c>
      <c r="M511" s="306">
        <f t="shared" ca="1" si="219"/>
        <v>1.2261111514088321</v>
      </c>
      <c r="N511" s="304">
        <f t="shared" ca="1" si="220"/>
        <v>70.250994189651934</v>
      </c>
      <c r="P511" s="310">
        <f t="shared" ca="1" si="221"/>
        <v>23</v>
      </c>
      <c r="Q511" s="304">
        <f t="shared" ca="1" si="222"/>
        <v>0</v>
      </c>
      <c r="R511" s="306">
        <f t="shared" ca="1" si="223"/>
        <v>0</v>
      </c>
      <c r="S511" s="307">
        <f t="shared" ca="1" si="224"/>
        <v>6.1519999999999921</v>
      </c>
      <c r="T511" s="304">
        <f t="shared" ca="1" si="204"/>
        <v>60.351119999999923</v>
      </c>
      <c r="U511" s="311">
        <f t="shared" ca="1" si="205"/>
        <v>0</v>
      </c>
      <c r="V511" s="306">
        <f t="shared" ca="1" si="206"/>
        <v>1.0183751452711212</v>
      </c>
      <c r="W511" s="304">
        <f t="shared" ca="1" si="207"/>
        <v>4.6212444509782991</v>
      </c>
      <c r="Y511" s="314" t="str">
        <f t="shared" ca="1" si="225"/>
        <v/>
      </c>
      <c r="Z511" s="315" t="str">
        <f t="shared" ca="1" si="226"/>
        <v/>
      </c>
      <c r="AA511" s="316" t="str">
        <f t="shared" ca="1" si="227"/>
        <v/>
      </c>
      <c r="AC511" s="310" t="e">
        <f t="shared" ca="1" si="228"/>
        <v>#N/A</v>
      </c>
      <c r="AD511" s="323" t="e">
        <f t="shared" ca="1" si="229"/>
        <v>#N/A</v>
      </c>
      <c r="AE511" s="324">
        <f t="shared" ca="1" si="208"/>
        <v>1842.0891857024446</v>
      </c>
      <c r="AG511" s="306">
        <f t="shared" ca="1" si="230"/>
        <v>-10.043236367402464</v>
      </c>
      <c r="AH511" s="304">
        <f t="shared" ca="1" si="231"/>
        <v>-0.78608198618729297</v>
      </c>
    </row>
    <row r="512" spans="1:34" x14ac:dyDescent="0.2">
      <c r="A512" s="347">
        <f t="shared" ca="1" si="209"/>
        <v>0.1</v>
      </c>
      <c r="B512" s="304">
        <f t="shared" ca="1" si="210"/>
        <v>14.799999999999921</v>
      </c>
      <c r="D512" s="306">
        <f t="shared" ca="1" si="211"/>
        <v>-0.25382319365644773</v>
      </c>
      <c r="E512" s="307">
        <f t="shared" ca="1" si="212"/>
        <v>-10.516994722670546</v>
      </c>
      <c r="F512" s="304">
        <f t="shared" ca="1" si="213"/>
        <v>10.520057234175015</v>
      </c>
      <c r="G512" s="306">
        <f t="shared" ca="1" si="214"/>
        <v>14.872154150578508</v>
      </c>
      <c r="H512" s="307">
        <f t="shared" ca="1" si="215"/>
        <v>40.443640308613325</v>
      </c>
      <c r="I512" s="304">
        <f t="shared" ca="1" si="216"/>
        <v>43.091402976592235</v>
      </c>
      <c r="J512" s="306">
        <f t="shared" ca="1" si="217"/>
        <v>263.85127430324144</v>
      </c>
      <c r="K512" s="307">
        <f t="shared" ca="1" si="218"/>
        <v>1846.1861347069193</v>
      </c>
      <c r="L512" s="304">
        <f t="shared" ca="1" si="203"/>
        <v>1864.945237516512</v>
      </c>
      <c r="M512" s="306">
        <f t="shared" ca="1" si="219"/>
        <v>1.2184185833834194</v>
      </c>
      <c r="N512" s="304">
        <f t="shared" ca="1" si="220"/>
        <v>69.810242508178504</v>
      </c>
      <c r="P512" s="310">
        <f t="shared" ca="1" si="221"/>
        <v>23</v>
      </c>
      <c r="Q512" s="304">
        <f t="shared" ca="1" si="222"/>
        <v>0</v>
      </c>
      <c r="R512" s="306">
        <f t="shared" ca="1" si="223"/>
        <v>0</v>
      </c>
      <c r="S512" s="307">
        <f t="shared" ca="1" si="224"/>
        <v>6.1519999999999921</v>
      </c>
      <c r="T512" s="304">
        <f t="shared" ca="1" si="204"/>
        <v>60.351119999999923</v>
      </c>
      <c r="U512" s="311">
        <f t="shared" ca="1" si="205"/>
        <v>0</v>
      </c>
      <c r="V512" s="306">
        <f t="shared" ca="1" si="206"/>
        <v>1.0179544313986211</v>
      </c>
      <c r="W512" s="304">
        <f t="shared" ca="1" si="207"/>
        <v>4.4127489435646767</v>
      </c>
      <c r="Y512" s="314" t="str">
        <f t="shared" ca="1" si="225"/>
        <v/>
      </c>
      <c r="Z512" s="315" t="str">
        <f t="shared" ca="1" si="226"/>
        <v/>
      </c>
      <c r="AA512" s="316" t="str">
        <f t="shared" ca="1" si="227"/>
        <v/>
      </c>
      <c r="AC512" s="310" t="e">
        <f t="shared" ca="1" si="228"/>
        <v>#N/A</v>
      </c>
      <c r="AD512" s="323" t="e">
        <f t="shared" ca="1" si="229"/>
        <v>#N/A</v>
      </c>
      <c r="AE512" s="324">
        <f t="shared" ca="1" si="208"/>
        <v>1846.1861347069193</v>
      </c>
      <c r="AG512" s="306">
        <f t="shared" ca="1" si="230"/>
        <v>-9.9841718056815481</v>
      </c>
      <c r="AH512" s="304">
        <f t="shared" ca="1" si="231"/>
        <v>-0.75117757655694162</v>
      </c>
    </row>
    <row r="513" spans="1:34" x14ac:dyDescent="0.2">
      <c r="A513" s="347">
        <f t="shared" ca="1" si="209"/>
        <v>0.1</v>
      </c>
      <c r="B513" s="304">
        <f t="shared" ca="1" si="210"/>
        <v>14.89999999999992</v>
      </c>
      <c r="D513" s="306">
        <f t="shared" ca="1" si="211"/>
        <v>-0.24755752777606765</v>
      </c>
      <c r="E513" s="307">
        <f t="shared" ca="1" si="212"/>
        <v>-10.483213006514957</v>
      </c>
      <c r="F513" s="304">
        <f t="shared" ca="1" si="213"/>
        <v>10.486135592749264</v>
      </c>
      <c r="G513" s="306">
        <f t="shared" ca="1" si="214"/>
        <v>14.847398397800902</v>
      </c>
      <c r="H513" s="307">
        <f t="shared" ca="1" si="215"/>
        <v>39.395319007961831</v>
      </c>
      <c r="I513" s="304">
        <f t="shared" ca="1" si="216"/>
        <v>42.100313525223292</v>
      </c>
      <c r="J513" s="306">
        <f t="shared" ca="1" si="217"/>
        <v>265.33725193066039</v>
      </c>
      <c r="K513" s="307">
        <f t="shared" ca="1" si="218"/>
        <v>1850.1780826727481</v>
      </c>
      <c r="L513" s="304">
        <f t="shared" ca="1" si="203"/>
        <v>1869.1074861721359</v>
      </c>
      <c r="M513" s="306">
        <f t="shared" ca="1" si="219"/>
        <v>1.2103764438708842</v>
      </c>
      <c r="N513" s="304">
        <f t="shared" ca="1" si="220"/>
        <v>69.349461855854841</v>
      </c>
      <c r="P513" s="310">
        <f t="shared" ca="1" si="221"/>
        <v>23</v>
      </c>
      <c r="Q513" s="304">
        <f t="shared" ca="1" si="222"/>
        <v>0</v>
      </c>
      <c r="R513" s="306">
        <f t="shared" ca="1" si="223"/>
        <v>0</v>
      </c>
      <c r="S513" s="307">
        <f t="shared" ca="1" si="224"/>
        <v>6.1519999999999921</v>
      </c>
      <c r="T513" s="304">
        <f t="shared" ca="1" si="204"/>
        <v>60.351119999999923</v>
      </c>
      <c r="U513" s="311">
        <f t="shared" ca="1" si="205"/>
        <v>0</v>
      </c>
      <c r="V513" s="306">
        <f t="shared" ca="1" si="206"/>
        <v>1.0175446517919751</v>
      </c>
      <c r="W513" s="304">
        <f t="shared" ca="1" si="207"/>
        <v>4.2104038119316174</v>
      </c>
      <c r="Y513" s="314" t="str">
        <f t="shared" ca="1" si="225"/>
        <v/>
      </c>
      <c r="Z513" s="315" t="str">
        <f t="shared" ca="1" si="226"/>
        <v/>
      </c>
      <c r="AA513" s="316" t="str">
        <f t="shared" ca="1" si="227"/>
        <v/>
      </c>
      <c r="AC513" s="310" t="e">
        <f t="shared" ca="1" si="228"/>
        <v>#N/A</v>
      </c>
      <c r="AD513" s="323" t="e">
        <f t="shared" ca="1" si="229"/>
        <v>#N/A</v>
      </c>
      <c r="AE513" s="324">
        <f t="shared" ca="1" si="208"/>
        <v>1850.1780826727481</v>
      </c>
      <c r="AG513" s="306">
        <f t="shared" ca="1" si="230"/>
        <v>-9.9245088413714484</v>
      </c>
      <c r="AH513" s="304">
        <f t="shared" ca="1" si="231"/>
        <v>-0.71728688939607976</v>
      </c>
    </row>
    <row r="514" spans="1:34" x14ac:dyDescent="0.2">
      <c r="A514" s="347">
        <f t="shared" ca="1" si="209"/>
        <v>0.1</v>
      </c>
      <c r="B514" s="304">
        <f t="shared" ca="1" si="210"/>
        <v>14.99999999999992</v>
      </c>
      <c r="D514" s="306">
        <f t="shared" ca="1" si="211"/>
        <v>-0.24136397821613245</v>
      </c>
      <c r="E514" s="307">
        <f t="shared" ca="1" si="212"/>
        <v>-10.450422696562358</v>
      </c>
      <c r="F514" s="304">
        <f t="shared" ca="1" si="213"/>
        <v>10.453209607905411</v>
      </c>
      <c r="G514" s="306">
        <f t="shared" ca="1" si="214"/>
        <v>14.823261999979289</v>
      </c>
      <c r="H514" s="307">
        <f t="shared" ca="1" si="215"/>
        <v>38.350276738305595</v>
      </c>
      <c r="I514" s="304">
        <f t="shared" ca="1" si="216"/>
        <v>41.115359930622681</v>
      </c>
      <c r="J514" s="306">
        <f t="shared" ca="1" si="217"/>
        <v>266.82078495054941</v>
      </c>
      <c r="K514" s="307">
        <f t="shared" ca="1" si="218"/>
        <v>1854.0653624600616</v>
      </c>
      <c r="L514" s="304">
        <f t="shared" ca="1" si="203"/>
        <v>1873.1662231515352</v>
      </c>
      <c r="M514" s="306">
        <f t="shared" ca="1" si="219"/>
        <v>1.2019618130259353</v>
      </c>
      <c r="N514" s="304">
        <f t="shared" ca="1" si="220"/>
        <v>68.867339022278671</v>
      </c>
      <c r="P514" s="310">
        <f t="shared" ca="1" si="221"/>
        <v>23</v>
      </c>
      <c r="Q514" s="304">
        <f t="shared" ca="1" si="222"/>
        <v>0</v>
      </c>
      <c r="R514" s="306">
        <f t="shared" ca="1" si="223"/>
        <v>0</v>
      </c>
      <c r="S514" s="307">
        <f t="shared" ca="1" si="224"/>
        <v>6.1519999999999921</v>
      </c>
      <c r="T514" s="304">
        <f t="shared" ca="1" si="204"/>
        <v>60.351119999999923</v>
      </c>
      <c r="U514" s="311">
        <f t="shared" ca="1" si="205"/>
        <v>0</v>
      </c>
      <c r="V514" s="306">
        <f t="shared" ca="1" si="206"/>
        <v>1.0171457604025482</v>
      </c>
      <c r="W514" s="304">
        <f t="shared" ca="1" si="207"/>
        <v>4.014125998065821</v>
      </c>
      <c r="Y514" s="314" t="str">
        <f t="shared" ca="1" si="225"/>
        <v/>
      </c>
      <c r="Z514" s="315" t="str">
        <f t="shared" ca="1" si="226"/>
        <v/>
      </c>
      <c r="AA514" s="316" t="str">
        <f t="shared" ca="1" si="227"/>
        <v/>
      </c>
      <c r="AC514" s="310">
        <f t="shared" ca="1" si="228"/>
        <v>14.99999999999992</v>
      </c>
      <c r="AD514" s="323">
        <f t="shared" ca="1" si="229"/>
        <v>266.82078495054941</v>
      </c>
      <c r="AE514" s="324">
        <f t="shared" ca="1" si="208"/>
        <v>1854.0653624600616</v>
      </c>
      <c r="AG514" s="306">
        <f t="shared" ca="1" si="230"/>
        <v>-9.8640919335141515</v>
      </c>
      <c r="AH514" s="304">
        <f t="shared" ca="1" si="231"/>
        <v>-0.68439593822035483</v>
      </c>
    </row>
    <row r="515" spans="1:34" x14ac:dyDescent="0.2">
      <c r="A515" s="347">
        <f t="shared" ca="1" si="209"/>
        <v>0.1</v>
      </c>
      <c r="B515" s="304">
        <f t="shared" ca="1" si="210"/>
        <v>15.09999999999992</v>
      </c>
      <c r="D515" s="306">
        <f t="shared" ca="1" si="211"/>
        <v>-0.23524172848026942</v>
      </c>
      <c r="E515" s="307">
        <f t="shared" ca="1" si="212"/>
        <v>-10.418609993375837</v>
      </c>
      <c r="F515" s="304">
        <f t="shared" ca="1" si="213"/>
        <v>10.421265415720359</v>
      </c>
      <c r="G515" s="306">
        <f t="shared" ca="1" si="214"/>
        <v>14.799737827131262</v>
      </c>
      <c r="H515" s="307">
        <f t="shared" ca="1" si="215"/>
        <v>37.308415738968009</v>
      </c>
      <c r="I515" s="304">
        <f t="shared" ca="1" si="216"/>
        <v>40.136643166855592</v>
      </c>
      <c r="J515" s="306">
        <f t="shared" ca="1" si="217"/>
        <v>268.30193494190496</v>
      </c>
      <c r="K515" s="307">
        <f t="shared" ca="1" si="218"/>
        <v>1857.8482970839252</v>
      </c>
      <c r="L515" s="304">
        <f t="shared" ca="1" si="203"/>
        <v>1877.1217923382626</v>
      </c>
      <c r="M515" s="306">
        <f t="shared" ca="1" si="219"/>
        <v>1.1931498377724756</v>
      </c>
      <c r="N515" s="304">
        <f t="shared" ca="1" si="220"/>
        <v>68.362450031081707</v>
      </c>
      <c r="P515" s="310">
        <f t="shared" ca="1" si="221"/>
        <v>23</v>
      </c>
      <c r="Q515" s="304">
        <f t="shared" ca="1" si="222"/>
        <v>0</v>
      </c>
      <c r="R515" s="306">
        <f t="shared" ca="1" si="223"/>
        <v>0</v>
      </c>
      <c r="S515" s="307">
        <f t="shared" ca="1" si="224"/>
        <v>6.1519999999999921</v>
      </c>
      <c r="T515" s="304">
        <f t="shared" ca="1" si="204"/>
        <v>60.351119999999923</v>
      </c>
      <c r="U515" s="311">
        <f t="shared" ca="1" si="205"/>
        <v>0</v>
      </c>
      <c r="V515" s="306">
        <f t="shared" ca="1" si="206"/>
        <v>1.0167577125620886</v>
      </c>
      <c r="W515" s="304">
        <f t="shared" ca="1" si="207"/>
        <v>3.8238353542045944</v>
      </c>
      <c r="Y515" s="314" t="str">
        <f t="shared" ca="1" si="225"/>
        <v/>
      </c>
      <c r="Z515" s="315" t="str">
        <f t="shared" ca="1" si="226"/>
        <v/>
      </c>
      <c r="AA515" s="316" t="str">
        <f t="shared" ca="1" si="227"/>
        <v/>
      </c>
      <c r="AC515" s="310" t="e">
        <f t="shared" ca="1" si="228"/>
        <v>#N/A</v>
      </c>
      <c r="AD515" s="323" t="e">
        <f t="shared" ca="1" si="229"/>
        <v>#N/A</v>
      </c>
      <c r="AE515" s="324">
        <f t="shared" ca="1" si="208"/>
        <v>1857.8482970839252</v>
      </c>
      <c r="AG515" s="306">
        <f t="shared" ca="1" si="230"/>
        <v>-9.802750770736754</v>
      </c>
      <c r="AH515" s="304">
        <f t="shared" ca="1" si="231"/>
        <v>-0.65249122205231247</v>
      </c>
    </row>
    <row r="516" spans="1:34" x14ac:dyDescent="0.2">
      <c r="A516" s="347">
        <f t="shared" ca="1" si="209"/>
        <v>0.1</v>
      </c>
      <c r="B516" s="304">
        <f t="shared" ca="1" si="210"/>
        <v>15.199999999999919</v>
      </c>
      <c r="D516" s="306">
        <f t="shared" ca="1" si="211"/>
        <v>-0.22919008841005889</v>
      </c>
      <c r="E516" s="307">
        <f t="shared" ca="1" si="212"/>
        <v>-10.387761525341206</v>
      </c>
      <c r="F516" s="304">
        <f t="shared" ca="1" si="213"/>
        <v>10.390289582296756</v>
      </c>
      <c r="G516" s="306">
        <f t="shared" ca="1" si="214"/>
        <v>14.776818818290256</v>
      </c>
      <c r="H516" s="307">
        <f t="shared" ca="1" si="215"/>
        <v>36.26963958643389</v>
      </c>
      <c r="I516" s="304">
        <f t="shared" ca="1" si="216"/>
        <v>39.164283858107112</v>
      </c>
      <c r="J516" s="306">
        <f t="shared" ca="1" si="217"/>
        <v>269.78076277417603</v>
      </c>
      <c r="K516" s="307">
        <f t="shared" ca="1" si="218"/>
        <v>1861.5271998501953</v>
      </c>
      <c r="L516" s="304">
        <f t="shared" ref="L516:L579" ca="1" si="232">SQRT(pos_x^2+pos_z^2)</f>
        <v>1880.9745282021033</v>
      </c>
      <c r="M516" s="306">
        <f t="shared" ca="1" si="219"/>
        <v>1.183913539117849</v>
      </c>
      <c r="N516" s="304">
        <f t="shared" ca="1" si="220"/>
        <v>67.83324909984924</v>
      </c>
      <c r="P516" s="310">
        <f t="shared" ca="1" si="221"/>
        <v>23</v>
      </c>
      <c r="Q516" s="304">
        <f t="shared" ca="1" si="222"/>
        <v>0</v>
      </c>
      <c r="R516" s="306">
        <f t="shared" ca="1" si="223"/>
        <v>0</v>
      </c>
      <c r="S516" s="307">
        <f t="shared" ca="1" si="224"/>
        <v>6.1519999999999921</v>
      </c>
      <c r="T516" s="304">
        <f t="shared" ref="T516:T579" ca="1" si="233">m*g</f>
        <v>60.351119999999923</v>
      </c>
      <c r="U516" s="311">
        <f t="shared" ref="U516:U579" ca="1" si="234">IF(pos_xz&lt;L_rampe,Poids*COS(Beta),0)</f>
        <v>0</v>
      </c>
      <c r="V516" s="306">
        <f t="shared" ref="V516:V579" ca="1" si="235">Rho_moyen*(20000-Alt_rampe-pos_z)/(20000+Alt_rampe+pos_z)</f>
        <v>1.0163804649629313</v>
      </c>
      <c r="W516" s="304">
        <f t="shared" ref="W516:W579" ca="1" si="236">1/2*Rho*Sref*Cx*vit_xz^2</f>
        <v>3.6394545693562503</v>
      </c>
      <c r="Y516" s="314" t="str">
        <f t="shared" ca="1" si="225"/>
        <v/>
      </c>
      <c r="Z516" s="315" t="str">
        <f t="shared" ca="1" si="226"/>
        <v/>
      </c>
      <c r="AA516" s="316" t="str">
        <f t="shared" ca="1" si="227"/>
        <v/>
      </c>
      <c r="AC516" s="310" t="e">
        <f t="shared" ca="1" si="228"/>
        <v>#N/A</v>
      </c>
      <c r="AD516" s="323" t="e">
        <f t="shared" ca="1" si="229"/>
        <v>#N/A</v>
      </c>
      <c r="AE516" s="324">
        <f t="shared" ref="AE516:AE579" ca="1" si="237">IF(t&lt;T_para, pos_z, NA())</f>
        <v>1861.5271998501953</v>
      </c>
      <c r="AG516" s="306">
        <f t="shared" ca="1" si="230"/>
        <v>-9.7402983398613792</v>
      </c>
      <c r="AH516" s="304">
        <f t="shared" ca="1" si="231"/>
        <v>-0.62155971297213908</v>
      </c>
    </row>
    <row r="517" spans="1:34" x14ac:dyDescent="0.2">
      <c r="A517" s="347">
        <f t="shared" ref="A517:A580" ca="1" si="238">IF(B516+0.01&lt;=T_ini+ROUNDUP(Temps_fin_propu,0), 0.01, IF(K516&gt;0, 0.1, 0.0001))</f>
        <v>0.1</v>
      </c>
      <c r="B517" s="304">
        <f t="shared" ref="B517:B580" ca="1" si="239">B516+pas</f>
        <v>15.299999999999919</v>
      </c>
      <c r="D517" s="306">
        <f t="shared" ref="D517:D580" ca="1" si="240">IF(AND(L516&lt;L_rampe,Poussee&lt;Poids*SIN(M516)),0,(-W516+Poussee)/m*COS(M516)-U516/m*SIN(M516))</f>
        <v>-0.22320850285294055</v>
      </c>
      <c r="E517" s="307">
        <f t="shared" ref="E517:E580" ca="1" si="241">IF(AND(L516&lt;L_rampe,Poussee&lt;Poids*SIN(M516)),0,(-W516+Poussee)/m*SIN(M516)+U516/m*COS(M516)-Poids/m)</f>
        <v>-10.357864330655735</v>
      </c>
      <c r="F517" s="304">
        <f t="shared" ref="F517:F580" ca="1" si="242">SQRT(acc_x^2+acc_z^2)</f>
        <v>10.360269085695421</v>
      </c>
      <c r="G517" s="306">
        <f t="shared" ref="G517:G580" ca="1" si="243">G516+acc_x*pas</f>
        <v>14.754497968004962</v>
      </c>
      <c r="H517" s="307">
        <f t="shared" ref="H517:H580" ca="1" si="244">H516+acc_z*pas</f>
        <v>35.233853153368315</v>
      </c>
      <c r="I517" s="304">
        <f t="shared" ref="I517:I580" ca="1" si="245">SQRT(vit_x^2+vit_z^2)</f>
        <v>38.19842429107495</v>
      </c>
      <c r="J517" s="306">
        <f t="shared" ref="J517:J580" ca="1" si="246">J516+0.5*(vit_x+G516)*pas*(K516&gt;=0)</f>
        <v>271.25732861349081</v>
      </c>
      <c r="K517" s="307">
        <f t="shared" ref="K517:K580" ca="1" si="247">K516+0.5*(vit_z+H516)*pas</f>
        <v>1865.1023744871854</v>
      </c>
      <c r="L517" s="304">
        <f t="shared" ca="1" si="232"/>
        <v>1884.7247559376581</v>
      </c>
      <c r="M517" s="306">
        <f t="shared" ref="M517:M580" ca="1" si="248">IF(AND(L516&gt;L_rampe,G517&gt;0),ATAN2(G517,H517),$M$4)</f>
        <v>1.1742235985327039</v>
      </c>
      <c r="N517" s="304">
        <f t="shared" ref="N517:N580" ca="1" si="249">DEGREES(Beta)</f>
        <v>67.2780564005879</v>
      </c>
      <c r="P517" s="310">
        <f t="shared" ref="P517:P580" ca="1" si="250">MATCH(t-pas/2-T_ini,CdP_t)</f>
        <v>23</v>
      </c>
      <c r="Q517" s="304">
        <f t="shared" ref="Q517:Q580" ca="1" si="251">(INDEX(CdP,2,i_P+1)-INDEX(CdP,2,i_P+0))/(INDEX(CdP,1,i_P+1)-INDEX(CdP,1,i_P+0))*(t-pas/2-T_ini-INDEX(CdP,1,i_P+0))+INDEX(CdP,2,i_P+0)</f>
        <v>0</v>
      </c>
      <c r="R517" s="306">
        <f t="shared" ref="R517:R580" ca="1" si="252">Poussee/(g*ISP)</f>
        <v>0</v>
      </c>
      <c r="S517" s="307">
        <f t="shared" ref="S517:S580" ca="1" si="253">S516-Débit*pas</f>
        <v>6.1519999999999921</v>
      </c>
      <c r="T517" s="304">
        <f t="shared" ca="1" si="233"/>
        <v>60.351119999999923</v>
      </c>
      <c r="U517" s="311">
        <f t="shared" ca="1" si="234"/>
        <v>0</v>
      </c>
      <c r="V517" s="306">
        <f t="shared" ca="1" si="235"/>
        <v>1.0160139756388507</v>
      </c>
      <c r="W517" s="304">
        <f t="shared" ca="1" si="236"/>
        <v>3.4609090987993052</v>
      </c>
      <c r="Y517" s="314" t="str">
        <f t="shared" ref="Y517:Y580" ca="1" si="254">IF(AND(pos_z&lt;=0,K516&gt;0),"Impact balistique","") &amp; IF(AND(H518&lt;0,vit_z&gt;=0),"Apogée","") &amp; IF(AND(Poussee=0,Q516&gt;0),"Fin de propulsion","") &amp; IF(AND(L518&gt;L_rampe,pos_xz&lt;=L_rampe),"Sortie de rampe","")</f>
        <v/>
      </c>
      <c r="Z517" s="315" t="str">
        <f t="shared" ref="Z517:Z580" ca="1" si="255">IF(ABS(t-T_para)&lt;pas/2,"Para","")</f>
        <v/>
      </c>
      <c r="AA517" s="316" t="str">
        <f t="shared" ref="AA517:AA580" ca="1" si="256">IF(ABS(t-T_satellite)&lt;pas/2,"Satellite","")</f>
        <v/>
      </c>
      <c r="AC517" s="310" t="e">
        <f t="shared" ref="AC517:AC580" ca="1" si="257">IF(ABS(t-ROUND(t,0))&lt;0.001,t,NA())</f>
        <v>#N/A</v>
      </c>
      <c r="AD517" s="323" t="e">
        <f t="shared" ref="AD517:AD580" ca="1" si="258">IF(ABS(t-ROUND(t,0))&lt;0.001,pos_x,NA())</f>
        <v>#N/A</v>
      </c>
      <c r="AE517" s="324">
        <f t="shared" ca="1" si="237"/>
        <v>1865.1023744871854</v>
      </c>
      <c r="AG517" s="306">
        <f t="shared" ref="AG517:AG580" ca="1" si="259">IF(AND(L516&lt;L_rampe,Poussee&lt;Poids*SIN(M516)),0,(-W516+Poussee)/m-Poids*SIN(M516)/m)</f>
        <v>-9.6765287254186276</v>
      </c>
      <c r="AH517" s="304">
        <f t="shared" ref="AH517:AH580" ca="1" si="260">IF(AND(L516&lt;L_rampe,Poussee&lt;Poids*SIN(M516)), g*SIN(M516), (-W516+Poussee)/m)</f>
        <v>-0.59158884417364355</v>
      </c>
    </row>
    <row r="518" spans="1:34" x14ac:dyDescent="0.2">
      <c r="A518" s="347">
        <f t="shared" ca="1" si="238"/>
        <v>0.1</v>
      </c>
      <c r="B518" s="304">
        <f t="shared" ca="1" si="239"/>
        <v>15.399999999999919</v>
      </c>
      <c r="D518" s="306">
        <f t="shared" ca="1" si="240"/>
        <v>-0.2172965616540051</v>
      </c>
      <c r="E518" s="307">
        <f t="shared" ca="1" si="241"/>
        <v>-10.328905838792448</v>
      </c>
      <c r="F518" s="304">
        <f t="shared" ca="1" si="242"/>
        <v>10.3311912973455</v>
      </c>
      <c r="G518" s="306">
        <f t="shared" ca="1" si="243"/>
        <v>14.732768311839562</v>
      </c>
      <c r="H518" s="307">
        <f t="shared" ca="1" si="244"/>
        <v>34.200962569489072</v>
      </c>
      <c r="I518" s="304">
        <f t="shared" ca="1" si="245"/>
        <v>37.239230695731841</v>
      </c>
      <c r="J518" s="306">
        <f t="shared" ca="1" si="246"/>
        <v>272.73169192748304</v>
      </c>
      <c r="K518" s="307">
        <f t="shared" ca="1" si="247"/>
        <v>1868.5741152733283</v>
      </c>
      <c r="L518" s="304">
        <f t="shared" ca="1" si="232"/>
        <v>1888.3727915989282</v>
      </c>
      <c r="M518" s="306">
        <f t="shared" ca="1" si="248"/>
        <v>1.1640481212297755</v>
      </c>
      <c r="N518" s="304">
        <f t="shared" ca="1" si="249"/>
        <v>66.695044496598939</v>
      </c>
      <c r="P518" s="310">
        <f t="shared" ca="1" si="250"/>
        <v>23</v>
      </c>
      <c r="Q518" s="304">
        <f t="shared" ca="1" si="251"/>
        <v>0</v>
      </c>
      <c r="R518" s="306">
        <f t="shared" ca="1" si="252"/>
        <v>0</v>
      </c>
      <c r="S518" s="307">
        <f t="shared" ca="1" si="253"/>
        <v>6.1519999999999921</v>
      </c>
      <c r="T518" s="304">
        <f t="shared" ca="1" si="233"/>
        <v>60.351119999999923</v>
      </c>
      <c r="U518" s="311">
        <f t="shared" ca="1" si="234"/>
        <v>0</v>
      </c>
      <c r="V518" s="306">
        <f t="shared" ca="1" si="235"/>
        <v>1.0156582039465341</v>
      </c>
      <c r="W518" s="304">
        <f t="shared" ca="1" si="236"/>
        <v>3.2881270964353089</v>
      </c>
      <c r="Y518" s="314" t="str">
        <f t="shared" ca="1" si="254"/>
        <v/>
      </c>
      <c r="Z518" s="315" t="str">
        <f t="shared" ca="1" si="255"/>
        <v/>
      </c>
      <c r="AA518" s="316" t="str">
        <f t="shared" ca="1" si="256"/>
        <v/>
      </c>
      <c r="AC518" s="310" t="e">
        <f t="shared" ca="1" si="257"/>
        <v>#N/A</v>
      </c>
      <c r="AD518" s="323" t="e">
        <f t="shared" ca="1" si="258"/>
        <v>#N/A</v>
      </c>
      <c r="AE518" s="324">
        <f t="shared" ca="1" si="237"/>
        <v>1868.5741152733283</v>
      </c>
      <c r="AG518" s="306">
        <f t="shared" ca="1" si="259"/>
        <v>-9.6112145998163783</v>
      </c>
      <c r="AH518" s="304">
        <f t="shared" ca="1" si="260"/>
        <v>-0.56256649850443918</v>
      </c>
    </row>
    <row r="519" spans="1:34" x14ac:dyDescent="0.2">
      <c r="A519" s="347">
        <f t="shared" ca="1" si="238"/>
        <v>0.1</v>
      </c>
      <c r="B519" s="304">
        <f t="shared" ca="1" si="239"/>
        <v>15.499999999999918</v>
      </c>
      <c r="D519" s="306">
        <f t="shared" ca="1" si="240"/>
        <v>-0.21145401115143428</v>
      </c>
      <c r="E519" s="307">
        <f t="shared" ca="1" si="241"/>
        <v>-10.30087385123316</v>
      </c>
      <c r="F519" s="304">
        <f t="shared" ca="1" si="242"/>
        <v>10.303043962725342</v>
      </c>
      <c r="G519" s="306">
        <f t="shared" ca="1" si="243"/>
        <v>14.711622910724419</v>
      </c>
      <c r="H519" s="307">
        <f t="shared" ca="1" si="244"/>
        <v>33.170875184365755</v>
      </c>
      <c r="I519" s="304">
        <f t="shared" ca="1" si="245"/>
        <v>36.28689583257465</v>
      </c>
      <c r="J519" s="306">
        <f t="shared" ca="1" si="246"/>
        <v>274.20391148861125</v>
      </c>
      <c r="K519" s="307">
        <f t="shared" ca="1" si="247"/>
        <v>1871.942707161021</v>
      </c>
      <c r="L519" s="304">
        <f t="shared" ca="1" si="232"/>
        <v>1891.9189422300803</v>
      </c>
      <c r="M519" s="306">
        <f t="shared" ca="1" si="248"/>
        <v>1.1533523740565845</v>
      </c>
      <c r="N519" s="304">
        <f t="shared" ca="1" si="249"/>
        <v>66.082223324836121</v>
      </c>
      <c r="P519" s="310">
        <f t="shared" ca="1" si="250"/>
        <v>23</v>
      </c>
      <c r="Q519" s="304">
        <f t="shared" ca="1" si="251"/>
        <v>0</v>
      </c>
      <c r="R519" s="306">
        <f t="shared" ca="1" si="252"/>
        <v>0</v>
      </c>
      <c r="S519" s="307">
        <f t="shared" ca="1" si="253"/>
        <v>6.1519999999999921</v>
      </c>
      <c r="T519" s="304">
        <f t="shared" ca="1" si="233"/>
        <v>60.351119999999923</v>
      </c>
      <c r="U519" s="311">
        <f t="shared" ca="1" si="234"/>
        <v>0</v>
      </c>
      <c r="V519" s="306">
        <f t="shared" ca="1" si="235"/>
        <v>1.0153131105476547</v>
      </c>
      <c r="W519" s="304">
        <f t="shared" ca="1" si="236"/>
        <v>3.1210393498735423</v>
      </c>
      <c r="Y519" s="314" t="str">
        <f t="shared" ca="1" si="254"/>
        <v/>
      </c>
      <c r="Z519" s="315" t="str">
        <f t="shared" ca="1" si="255"/>
        <v/>
      </c>
      <c r="AA519" s="316" t="str">
        <f t="shared" ca="1" si="256"/>
        <v/>
      </c>
      <c r="AC519" s="310" t="e">
        <f t="shared" ca="1" si="257"/>
        <v>#N/A</v>
      </c>
      <c r="AD519" s="323" t="e">
        <f t="shared" ca="1" si="258"/>
        <v>#N/A</v>
      </c>
      <c r="AE519" s="324">
        <f t="shared" ca="1" si="237"/>
        <v>1871.942707161021</v>
      </c>
      <c r="AG519" s="306">
        <f t="shared" ca="1" si="259"/>
        <v>-9.5441043580605704</v>
      </c>
      <c r="AH519" s="304">
        <f t="shared" ca="1" si="260"/>
        <v>-0.53448099746997935</v>
      </c>
    </row>
    <row r="520" spans="1:34" x14ac:dyDescent="0.2">
      <c r="A520" s="347">
        <f t="shared" ca="1" si="238"/>
        <v>0.1</v>
      </c>
      <c r="B520" s="304">
        <f t="shared" ca="1" si="239"/>
        <v>15.599999999999918</v>
      </c>
      <c r="D520" s="306">
        <f t="shared" ca="1" si="240"/>
        <v>-0.20568076738231125</v>
      </c>
      <c r="E520" s="307">
        <f t="shared" ca="1" si="241"/>
        <v>-10.273756521225792</v>
      </c>
      <c r="F520" s="304">
        <f t="shared" ca="1" si="242"/>
        <v>10.2758151810696</v>
      </c>
      <c r="G520" s="306">
        <f t="shared" ca="1" si="243"/>
        <v>14.691054833986188</v>
      </c>
      <c r="H520" s="307">
        <f t="shared" ca="1" si="244"/>
        <v>32.143499532243176</v>
      </c>
      <c r="I520" s="304">
        <f t="shared" ca="1" si="245"/>
        <v>35.34164193008732</v>
      </c>
      <c r="J520" s="306">
        <f t="shared" ca="1" si="246"/>
        <v>275.67404537584679</v>
      </c>
      <c r="K520" s="307">
        <f t="shared" ca="1" si="247"/>
        <v>1875.2084258968514</v>
      </c>
      <c r="L520" s="304">
        <f t="shared" ca="1" si="232"/>
        <v>1895.3635059925659</v>
      </c>
      <c r="M520" s="306">
        <f t="shared" ca="1" si="248"/>
        <v>1.1420984956442364</v>
      </c>
      <c r="N520" s="304">
        <f t="shared" ca="1" si="249"/>
        <v>65.437423588655179</v>
      </c>
      <c r="P520" s="310">
        <f t="shared" ca="1" si="250"/>
        <v>23</v>
      </c>
      <c r="Q520" s="304">
        <f t="shared" ca="1" si="251"/>
        <v>0</v>
      </c>
      <c r="R520" s="306">
        <f t="shared" ca="1" si="252"/>
        <v>0</v>
      </c>
      <c r="S520" s="307">
        <f t="shared" ca="1" si="253"/>
        <v>6.1519999999999921</v>
      </c>
      <c r="T520" s="304">
        <f t="shared" ca="1" si="233"/>
        <v>60.351119999999923</v>
      </c>
      <c r="U520" s="311">
        <f t="shared" ca="1" si="234"/>
        <v>0</v>
      </c>
      <c r="V520" s="306">
        <f t="shared" ca="1" si="235"/>
        <v>1.014978657391516</v>
      </c>
      <c r="W520" s="304">
        <f t="shared" ca="1" si="236"/>
        <v>2.9595792181287837</v>
      </c>
      <c r="Y520" s="314" t="str">
        <f t="shared" ca="1" si="254"/>
        <v/>
      </c>
      <c r="Z520" s="315" t="str">
        <f t="shared" ca="1" si="255"/>
        <v/>
      </c>
      <c r="AA520" s="316" t="str">
        <f t="shared" ca="1" si="256"/>
        <v/>
      </c>
      <c r="AC520" s="310" t="e">
        <f t="shared" ca="1" si="257"/>
        <v>#N/A</v>
      </c>
      <c r="AD520" s="323" t="e">
        <f t="shared" ca="1" si="258"/>
        <v>#N/A</v>
      </c>
      <c r="AE520" s="324">
        <f t="shared" ca="1" si="237"/>
        <v>1875.2084258968514</v>
      </c>
      <c r="AG520" s="306">
        <f t="shared" ca="1" si="259"/>
        <v>-9.4749188444281103</v>
      </c>
      <c r="AH520" s="304">
        <f t="shared" ca="1" si="260"/>
        <v>-0.50732109068165576</v>
      </c>
    </row>
    <row r="521" spans="1:34" x14ac:dyDescent="0.2">
      <c r="A521" s="347">
        <f t="shared" ca="1" si="238"/>
        <v>0.1</v>
      </c>
      <c r="B521" s="304">
        <f t="shared" ca="1" si="239"/>
        <v>15.699999999999918</v>
      </c>
      <c r="D521" s="306">
        <f t="shared" ca="1" si="240"/>
        <v>-0.19997693123615845</v>
      </c>
      <c r="E521" s="307">
        <f t="shared" ca="1" si="241"/>
        <v>-10.247542332275453</v>
      </c>
      <c r="F521" s="304">
        <f t="shared" ca="1" si="242"/>
        <v>10.249493383811906</v>
      </c>
      <c r="G521" s="306">
        <f t="shared" ca="1" si="243"/>
        <v>14.671057140862573</v>
      </c>
      <c r="H521" s="307">
        <f t="shared" ca="1" si="244"/>
        <v>31.118745299015632</v>
      </c>
      <c r="I521" s="304">
        <f t="shared" ca="1" si="245"/>
        <v>34.403724022487189</v>
      </c>
      <c r="J521" s="306">
        <f t="shared" ca="1" si="246"/>
        <v>277.14215097458924</v>
      </c>
      <c r="K521" s="307">
        <f t="shared" ca="1" si="247"/>
        <v>1878.3715381384143</v>
      </c>
      <c r="L521" s="304">
        <f t="shared" ca="1" si="232"/>
        <v>1898.7067722887846</v>
      </c>
      <c r="M521" s="306">
        <f t="shared" ca="1" si="248"/>
        <v>1.1302451764557555</v>
      </c>
      <c r="N521" s="304">
        <f t="shared" ca="1" si="249"/>
        <v>64.758278425933796</v>
      </c>
      <c r="P521" s="310">
        <f t="shared" ca="1" si="250"/>
        <v>23</v>
      </c>
      <c r="Q521" s="304">
        <f t="shared" ca="1" si="251"/>
        <v>0</v>
      </c>
      <c r="R521" s="306">
        <f t="shared" ca="1" si="252"/>
        <v>0</v>
      </c>
      <c r="S521" s="307">
        <f t="shared" ca="1" si="253"/>
        <v>6.1519999999999921</v>
      </c>
      <c r="T521" s="304">
        <f t="shared" ca="1" si="233"/>
        <v>60.351119999999923</v>
      </c>
      <c r="U521" s="311">
        <f t="shared" ca="1" si="234"/>
        <v>0</v>
      </c>
      <c r="V521" s="306">
        <f t="shared" ca="1" si="235"/>
        <v>1.0146548076982385</v>
      </c>
      <c r="W521" s="304">
        <f t="shared" ca="1" si="236"/>
        <v>2.8036825718154059</v>
      </c>
      <c r="Y521" s="314" t="str">
        <f t="shared" ca="1" si="254"/>
        <v/>
      </c>
      <c r="Z521" s="315" t="str">
        <f t="shared" ca="1" si="255"/>
        <v/>
      </c>
      <c r="AA521" s="316" t="str">
        <f t="shared" ca="1" si="256"/>
        <v/>
      </c>
      <c r="AC521" s="310" t="e">
        <f t="shared" ca="1" si="257"/>
        <v>#N/A</v>
      </c>
      <c r="AD521" s="323" t="e">
        <f t="shared" ca="1" si="258"/>
        <v>#N/A</v>
      </c>
      <c r="AE521" s="324">
        <f t="shared" ca="1" si="237"/>
        <v>1878.3715381384143</v>
      </c>
      <c r="AG521" s="306">
        <f t="shared" ca="1" si="259"/>
        <v>-9.4033476114062289</v>
      </c>
      <c r="AH521" s="304">
        <f t="shared" ca="1" si="260"/>
        <v>-0.48107594572964685</v>
      </c>
    </row>
    <row r="522" spans="1:34" x14ac:dyDescent="0.2">
      <c r="A522" s="347">
        <f t="shared" ca="1" si="238"/>
        <v>0.1</v>
      </c>
      <c r="B522" s="304">
        <f t="shared" ca="1" si="239"/>
        <v>15.799999999999917</v>
      </c>
      <c r="D522" s="306">
        <f t="shared" ca="1" si="240"/>
        <v>-0.1943428058281709</v>
      </c>
      <c r="E522" s="307">
        <f t="shared" ca="1" si="241"/>
        <v>-10.222220075022307</v>
      </c>
      <c r="F522" s="304">
        <f t="shared" ca="1" si="242"/>
        <v>10.22406731141605</v>
      </c>
      <c r="G522" s="306">
        <f t="shared" ca="1" si="243"/>
        <v>14.651622860279755</v>
      </c>
      <c r="H522" s="307">
        <f t="shared" ca="1" si="244"/>
        <v>30.096523291513403</v>
      </c>
      <c r="I522" s="304">
        <f t="shared" ca="1" si="245"/>
        <v>33.473433744933921</v>
      </c>
      <c r="J522" s="306">
        <f t="shared" ca="1" si="246"/>
        <v>278.60828497464638</v>
      </c>
      <c r="K522" s="307">
        <f t="shared" ca="1" si="247"/>
        <v>1881.4323015679408</v>
      </c>
      <c r="L522" s="304">
        <f t="shared" ca="1" si="232"/>
        <v>1901.9490218824881</v>
      </c>
      <c r="M522" s="306">
        <f t="shared" ca="1" si="248"/>
        <v>1.1177473064932366</v>
      </c>
      <c r="N522" s="304">
        <f t="shared" ca="1" si="249"/>
        <v>64.042203224178138</v>
      </c>
      <c r="P522" s="310">
        <f t="shared" ca="1" si="250"/>
        <v>23</v>
      </c>
      <c r="Q522" s="304">
        <f t="shared" ca="1" si="251"/>
        <v>0</v>
      </c>
      <c r="R522" s="306">
        <f t="shared" ca="1" si="252"/>
        <v>0</v>
      </c>
      <c r="S522" s="307">
        <f t="shared" ca="1" si="253"/>
        <v>6.1519999999999921</v>
      </c>
      <c r="T522" s="304">
        <f t="shared" ca="1" si="233"/>
        <v>60.351119999999923</v>
      </c>
      <c r="U522" s="311">
        <f t="shared" ca="1" si="234"/>
        <v>0</v>
      </c>
      <c r="V522" s="306">
        <f t="shared" ca="1" si="235"/>
        <v>1.0143415259424697</v>
      </c>
      <c r="W522" s="304">
        <f t="shared" ca="1" si="236"/>
        <v>2.6532877357224343</v>
      </c>
      <c r="Y522" s="314" t="str">
        <f t="shared" ca="1" si="254"/>
        <v/>
      </c>
      <c r="Z522" s="315" t="str">
        <f t="shared" ca="1" si="255"/>
        <v/>
      </c>
      <c r="AA522" s="316" t="str">
        <f t="shared" ca="1" si="256"/>
        <v/>
      </c>
      <c r="AC522" s="310" t="e">
        <f t="shared" ca="1" si="257"/>
        <v>#N/A</v>
      </c>
      <c r="AD522" s="323" t="e">
        <f t="shared" ca="1" si="258"/>
        <v>#N/A</v>
      </c>
      <c r="AE522" s="324">
        <f t="shared" ca="1" si="237"/>
        <v>1881.4323015679408</v>
      </c>
      <c r="AG522" s="306">
        <f t="shared" ca="1" si="259"/>
        <v>-9.3290446436711409</v>
      </c>
      <c r="AH522" s="304">
        <f t="shared" ca="1" si="260"/>
        <v>-0.45573513846154251</v>
      </c>
    </row>
    <row r="523" spans="1:34" x14ac:dyDescent="0.2">
      <c r="A523" s="347">
        <f t="shared" ca="1" si="238"/>
        <v>0.1</v>
      </c>
      <c r="B523" s="304">
        <f t="shared" ca="1" si="239"/>
        <v>15.899999999999917</v>
      </c>
      <c r="D523" s="306">
        <f t="shared" ca="1" si="240"/>
        <v>-0.1887789164028717</v>
      </c>
      <c r="E523" s="307">
        <f t="shared" ca="1" si="241"/>
        <v>-10.197778822089965</v>
      </c>
      <c r="F523" s="304">
        <f t="shared" ca="1" si="242"/>
        <v>10.199525988179296</v>
      </c>
      <c r="G523" s="306">
        <f t="shared" ca="1" si="243"/>
        <v>14.632744968639468</v>
      </c>
      <c r="H523" s="307">
        <f t="shared" ca="1" si="244"/>
        <v>29.076745409304408</v>
      </c>
      <c r="I523" s="304">
        <f t="shared" ca="1" si="245"/>
        <v>32.551103651255026</v>
      </c>
      <c r="J523" s="306">
        <f t="shared" ca="1" si="246"/>
        <v>280.07250336609235</v>
      </c>
      <c r="K523" s="307">
        <f t="shared" ca="1" si="247"/>
        <v>1884.3909650029818</v>
      </c>
      <c r="L523" s="304">
        <f t="shared" ca="1" si="232"/>
        <v>1905.0905270161361</v>
      </c>
      <c r="M523" s="306">
        <f t="shared" ca="1" si="248"/>
        <v>1.1045555887103637</v>
      </c>
      <c r="N523" s="304">
        <f t="shared" ca="1" si="249"/>
        <v>63.286373470691842</v>
      </c>
      <c r="P523" s="310">
        <f t="shared" ca="1" si="250"/>
        <v>23</v>
      </c>
      <c r="Q523" s="304">
        <f t="shared" ca="1" si="251"/>
        <v>0</v>
      </c>
      <c r="R523" s="306">
        <f t="shared" ca="1" si="252"/>
        <v>0</v>
      </c>
      <c r="S523" s="307">
        <f t="shared" ca="1" si="253"/>
        <v>6.1519999999999921</v>
      </c>
      <c r="T523" s="304">
        <f t="shared" ca="1" si="233"/>
        <v>60.351119999999923</v>
      </c>
      <c r="U523" s="311">
        <f t="shared" ca="1" si="234"/>
        <v>0</v>
      </c>
      <c r="V523" s="306">
        <f t="shared" ca="1" si="235"/>
        <v>1.0140387778375777</v>
      </c>
      <c r="W523" s="304">
        <f t="shared" ca="1" si="236"/>
        <v>2.5083354336545809</v>
      </c>
      <c r="Y523" s="314" t="str">
        <f t="shared" ca="1" si="254"/>
        <v/>
      </c>
      <c r="Z523" s="315" t="str">
        <f t="shared" ca="1" si="255"/>
        <v/>
      </c>
      <c r="AA523" s="316" t="str">
        <f t="shared" ca="1" si="256"/>
        <v/>
      </c>
      <c r="AC523" s="310" t="e">
        <f t="shared" ca="1" si="257"/>
        <v>#N/A</v>
      </c>
      <c r="AD523" s="323" t="e">
        <f t="shared" ca="1" si="258"/>
        <v>#N/A</v>
      </c>
      <c r="AE523" s="324">
        <f t="shared" ca="1" si="237"/>
        <v>1884.3909650029818</v>
      </c>
      <c r="AG523" s="306">
        <f t="shared" ca="1" si="259"/>
        <v>-9.2516234721425725</v>
      </c>
      <c r="AH523" s="304">
        <f t="shared" ca="1" si="260"/>
        <v>-0.43128864364799052</v>
      </c>
    </row>
    <row r="524" spans="1:34" x14ac:dyDescent="0.2">
      <c r="A524" s="347">
        <f t="shared" ca="1" si="238"/>
        <v>0.1</v>
      </c>
      <c r="B524" s="304">
        <f t="shared" ca="1" si="239"/>
        <v>15.999999999999917</v>
      </c>
      <c r="D524" s="306">
        <f t="shared" ca="1" si="240"/>
        <v>-0.18328603312179281</v>
      </c>
      <c r="E524" s="307">
        <f t="shared" ca="1" si="241"/>
        <v>-10.174207900403204</v>
      </c>
      <c r="F524" s="304">
        <f t="shared" ca="1" si="242"/>
        <v>10.175858694506548</v>
      </c>
      <c r="G524" s="306">
        <f t="shared" ca="1" si="243"/>
        <v>14.614416365327289</v>
      </c>
      <c r="H524" s="307">
        <f t="shared" ca="1" si="244"/>
        <v>28.059324619264089</v>
      </c>
      <c r="I524" s="304">
        <f t="shared" ca="1" si="245"/>
        <v>31.637112127822064</v>
      </c>
      <c r="J524" s="306">
        <f t="shared" ca="1" si="246"/>
        <v>281.53486143279071</v>
      </c>
      <c r="K524" s="307">
        <f t="shared" ca="1" si="247"/>
        <v>1887.2477685044103</v>
      </c>
      <c r="L524" s="304">
        <f t="shared" ca="1" si="232"/>
        <v>1908.1315515254332</v>
      </c>
      <c r="M524" s="306">
        <f t="shared" ca="1" si="248"/>
        <v>1.0906161167143746</v>
      </c>
      <c r="N524" s="304">
        <f t="shared" ca="1" si="249"/>
        <v>62.487700556680863</v>
      </c>
      <c r="P524" s="310">
        <f t="shared" ca="1" si="250"/>
        <v>23</v>
      </c>
      <c r="Q524" s="304">
        <f t="shared" ca="1" si="251"/>
        <v>0</v>
      </c>
      <c r="R524" s="306">
        <f t="shared" ca="1" si="252"/>
        <v>0</v>
      </c>
      <c r="S524" s="307">
        <f t="shared" ca="1" si="253"/>
        <v>6.1519999999999921</v>
      </c>
      <c r="T524" s="304">
        <f t="shared" ca="1" si="233"/>
        <v>60.351119999999923</v>
      </c>
      <c r="U524" s="311">
        <f t="shared" ca="1" si="234"/>
        <v>0</v>
      </c>
      <c r="V524" s="306">
        <f t="shared" ca="1" si="235"/>
        <v>1.013746530320301</v>
      </c>
      <c r="W524" s="304">
        <f t="shared" ca="1" si="236"/>
        <v>2.3687687354236067</v>
      </c>
      <c r="Y524" s="314" t="str">
        <f t="shared" ca="1" si="254"/>
        <v/>
      </c>
      <c r="Z524" s="315" t="str">
        <f t="shared" ca="1" si="255"/>
        <v/>
      </c>
      <c r="AA524" s="316" t="str">
        <f t="shared" ca="1" si="256"/>
        <v/>
      </c>
      <c r="AC524" s="310">
        <f t="shared" ca="1" si="257"/>
        <v>15.999999999999917</v>
      </c>
      <c r="AD524" s="323">
        <f t="shared" ca="1" si="258"/>
        <v>281.53486143279071</v>
      </c>
      <c r="AE524" s="324">
        <f t="shared" ca="1" si="237"/>
        <v>1887.2477685044103</v>
      </c>
      <c r="AG524" s="306">
        <f t="shared" ca="1" si="259"/>
        <v>-9.1706515956743253</v>
      </c>
      <c r="AH524" s="304">
        <f t="shared" ca="1" si="260"/>
        <v>-0.40772682601667493</v>
      </c>
    </row>
    <row r="525" spans="1:34" x14ac:dyDescent="0.2">
      <c r="A525" s="347">
        <f t="shared" ca="1" si="238"/>
        <v>0.1</v>
      </c>
      <c r="B525" s="304">
        <f t="shared" ca="1" si="239"/>
        <v>16.099999999999916</v>
      </c>
      <c r="D525" s="306">
        <f t="shared" ca="1" si="240"/>
        <v>-0.17786519713544713</v>
      </c>
      <c r="E525" s="307">
        <f t="shared" ca="1" si="241"/>
        <v>-10.151496860369569</v>
      </c>
      <c r="F525" s="304">
        <f t="shared" ca="1" si="242"/>
        <v>10.153054936049802</v>
      </c>
      <c r="G525" s="306">
        <f t="shared" ca="1" si="243"/>
        <v>14.596629845613744</v>
      </c>
      <c r="H525" s="307">
        <f t="shared" ca="1" si="244"/>
        <v>27.044174933227133</v>
      </c>
      <c r="I525" s="304">
        <f t="shared" ca="1" si="245"/>
        <v>30.731888986342064</v>
      </c>
      <c r="J525" s="306">
        <f t="shared" ca="1" si="246"/>
        <v>282.99541374333774</v>
      </c>
      <c r="K525" s="307">
        <f t="shared" ca="1" si="247"/>
        <v>1890.0029434820349</v>
      </c>
      <c r="L525" s="304">
        <f t="shared" ca="1" si="232"/>
        <v>1911.0723509512973</v>
      </c>
      <c r="M525" s="306">
        <f t="shared" ca="1" si="248"/>
        <v>1.07586991623787</v>
      </c>
      <c r="N525" s="304">
        <f t="shared" ca="1" si="249"/>
        <v>61.642805505523349</v>
      </c>
      <c r="P525" s="310">
        <f t="shared" ca="1" si="250"/>
        <v>23</v>
      </c>
      <c r="Q525" s="304">
        <f t="shared" ca="1" si="251"/>
        <v>0</v>
      </c>
      <c r="R525" s="306">
        <f t="shared" ca="1" si="252"/>
        <v>0</v>
      </c>
      <c r="S525" s="307">
        <f t="shared" ca="1" si="253"/>
        <v>6.1519999999999921</v>
      </c>
      <c r="T525" s="304">
        <f t="shared" ca="1" si="233"/>
        <v>60.351119999999923</v>
      </c>
      <c r="U525" s="311">
        <f t="shared" ca="1" si="234"/>
        <v>0</v>
      </c>
      <c r="V525" s="306">
        <f t="shared" ca="1" si="235"/>
        <v>1.0134647515358255</v>
      </c>
      <c r="W525" s="304">
        <f t="shared" ca="1" si="236"/>
        <v>2.2345330058725219</v>
      </c>
      <c r="Y525" s="314" t="str">
        <f t="shared" ca="1" si="254"/>
        <v/>
      </c>
      <c r="Z525" s="315" t="str">
        <f t="shared" ca="1" si="255"/>
        <v/>
      </c>
      <c r="AA525" s="316" t="str">
        <f t="shared" ca="1" si="256"/>
        <v/>
      </c>
      <c r="AC525" s="310" t="e">
        <f t="shared" ca="1" si="257"/>
        <v>#N/A</v>
      </c>
      <c r="AD525" s="323" t="e">
        <f t="shared" ca="1" si="258"/>
        <v>#N/A</v>
      </c>
      <c r="AE525" s="324">
        <f t="shared" ca="1" si="237"/>
        <v>1890.0029434820349</v>
      </c>
      <c r="AG525" s="306">
        <f t="shared" ca="1" si="259"/>
        <v>-9.085644121468567</v>
      </c>
      <c r="AH525" s="304">
        <f t="shared" ca="1" si="260"/>
        <v>-0.3850404316358273</v>
      </c>
    </row>
    <row r="526" spans="1:34" x14ac:dyDescent="0.2">
      <c r="A526" s="347">
        <f t="shared" ca="1" si="238"/>
        <v>0.1</v>
      </c>
      <c r="B526" s="304">
        <f t="shared" ca="1" si="239"/>
        <v>16.199999999999918</v>
      </c>
      <c r="D526" s="306">
        <f t="shared" ca="1" si="240"/>
        <v>-0.17251775038943945</v>
      </c>
      <c r="E526" s="307">
        <f t="shared" ca="1" si="241"/>
        <v>-10.129635441191983</v>
      </c>
      <c r="F526" s="304">
        <f t="shared" ca="1" si="242"/>
        <v>10.131104408979908</v>
      </c>
      <c r="G526" s="306">
        <f t="shared" ca="1" si="243"/>
        <v>14.579378070574801</v>
      </c>
      <c r="H526" s="307">
        <f t="shared" ca="1" si="244"/>
        <v>26.031211389107934</v>
      </c>
      <c r="I526" s="304">
        <f t="shared" ca="1" si="245"/>
        <v>29.835921827709296</v>
      </c>
      <c r="J526" s="306">
        <f t="shared" ca="1" si="246"/>
        <v>284.45421413914715</v>
      </c>
      <c r="K526" s="307">
        <f t="shared" ca="1" si="247"/>
        <v>1892.6567127981516</v>
      </c>
      <c r="L526" s="304">
        <f t="shared" ca="1" si="232"/>
        <v>1913.9131726495391</v>
      </c>
      <c r="M526" s="306">
        <f t="shared" ca="1" si="248"/>
        <v>1.0602524512640157</v>
      </c>
      <c r="N526" s="304">
        <f t="shared" ca="1" si="249"/>
        <v>60.747990675828106</v>
      </c>
      <c r="P526" s="310">
        <f t="shared" ca="1" si="250"/>
        <v>23</v>
      </c>
      <c r="Q526" s="304">
        <f t="shared" ca="1" si="251"/>
        <v>0</v>
      </c>
      <c r="R526" s="306">
        <f t="shared" ca="1" si="252"/>
        <v>0</v>
      </c>
      <c r="S526" s="307">
        <f t="shared" ca="1" si="253"/>
        <v>6.1519999999999921</v>
      </c>
      <c r="T526" s="304">
        <f t="shared" ca="1" si="233"/>
        <v>60.351119999999923</v>
      </c>
      <c r="U526" s="311">
        <f t="shared" ca="1" si="234"/>
        <v>0</v>
      </c>
      <c r="V526" s="306">
        <f t="shared" ca="1" si="235"/>
        <v>1.0131934108232403</v>
      </c>
      <c r="W526" s="304">
        <f t="shared" ca="1" si="236"/>
        <v>2.1055758558118001</v>
      </c>
      <c r="Y526" s="314" t="str">
        <f t="shared" ca="1" si="254"/>
        <v/>
      </c>
      <c r="Z526" s="315" t="str">
        <f t="shared" ca="1" si="255"/>
        <v/>
      </c>
      <c r="AA526" s="316" t="str">
        <f t="shared" ca="1" si="256"/>
        <v/>
      </c>
      <c r="AC526" s="310" t="e">
        <f t="shared" ca="1" si="257"/>
        <v>#N/A</v>
      </c>
      <c r="AD526" s="323" t="e">
        <f t="shared" ca="1" si="258"/>
        <v>#N/A</v>
      </c>
      <c r="AE526" s="324">
        <f t="shared" ca="1" si="237"/>
        <v>1892.6567127981516</v>
      </c>
      <c r="AG526" s="306">
        <f t="shared" ca="1" si="259"/>
        <v>-8.9960565310031413</v>
      </c>
      <c r="AH526" s="304">
        <f t="shared" ca="1" si="260"/>
        <v>-0.36322057962817372</v>
      </c>
    </row>
    <row r="527" spans="1:34" x14ac:dyDescent="0.2">
      <c r="A527" s="347">
        <f t="shared" ca="1" si="238"/>
        <v>0.1</v>
      </c>
      <c r="B527" s="304">
        <f t="shared" ca="1" si="239"/>
        <v>16.299999999999919</v>
      </c>
      <c r="D527" s="306">
        <f t="shared" ca="1" si="240"/>
        <v>-0.16724536966538264</v>
      </c>
      <c r="E527" s="307">
        <f t="shared" ca="1" si="241"/>
        <v>-10.108613531423254</v>
      </c>
      <c r="F527" s="304">
        <f t="shared" ca="1" si="242"/>
        <v>10.109996960501414</v>
      </c>
      <c r="G527" s="306">
        <f t="shared" ca="1" si="243"/>
        <v>14.562653533608263</v>
      </c>
      <c r="H527" s="307">
        <f t="shared" ca="1" si="244"/>
        <v>25.02035003596561</v>
      </c>
      <c r="I527" s="304">
        <f t="shared" ca="1" si="245"/>
        <v>28.949763278171332</v>
      </c>
      <c r="J527" s="306">
        <f t="shared" ca="1" si="246"/>
        <v>285.91131571935631</v>
      </c>
      <c r="K527" s="307">
        <f t="shared" ca="1" si="247"/>
        <v>1895.2092908694053</v>
      </c>
      <c r="L527" s="304">
        <f t="shared" ca="1" si="232"/>
        <v>1916.6542558985666</v>
      </c>
      <c r="M527" s="306">
        <f t="shared" ca="1" si="248"/>
        <v>1.0436930977985144</v>
      </c>
      <c r="N527" s="304">
        <f t="shared" ca="1" si="249"/>
        <v>59.799209610789546</v>
      </c>
      <c r="P527" s="310">
        <f t="shared" ca="1" si="250"/>
        <v>23</v>
      </c>
      <c r="Q527" s="304">
        <f t="shared" ca="1" si="251"/>
        <v>0</v>
      </c>
      <c r="R527" s="306">
        <f t="shared" ca="1" si="252"/>
        <v>0</v>
      </c>
      <c r="S527" s="307">
        <f t="shared" ca="1" si="253"/>
        <v>6.1519999999999921</v>
      </c>
      <c r="T527" s="304">
        <f t="shared" ca="1" si="233"/>
        <v>60.351119999999923</v>
      </c>
      <c r="U527" s="311">
        <f t="shared" ca="1" si="234"/>
        <v>0</v>
      </c>
      <c r="V527" s="306">
        <f t="shared" ca="1" si="235"/>
        <v>1.012932478701341</v>
      </c>
      <c r="W527" s="304">
        <f t="shared" ca="1" si="236"/>
        <v>1.9818470947417939</v>
      </c>
      <c r="Y527" s="314" t="str">
        <f t="shared" ca="1" si="254"/>
        <v/>
      </c>
      <c r="Z527" s="315" t="str">
        <f t="shared" ca="1" si="255"/>
        <v/>
      </c>
      <c r="AA527" s="316" t="str">
        <f t="shared" ca="1" si="256"/>
        <v/>
      </c>
      <c r="AC527" s="310" t="e">
        <f t="shared" ca="1" si="257"/>
        <v>#N/A</v>
      </c>
      <c r="AD527" s="323" t="e">
        <f t="shared" ca="1" si="258"/>
        <v>#N/A</v>
      </c>
      <c r="AE527" s="324">
        <f t="shared" ca="1" si="237"/>
        <v>1895.2092908694053</v>
      </c>
      <c r="AG527" s="306">
        <f t="shared" ca="1" si="259"/>
        <v>-8.9012764779244069</v>
      </c>
      <c r="AH527" s="304">
        <f t="shared" ca="1" si="260"/>
        <v>-0.34225875419567664</v>
      </c>
    </row>
    <row r="528" spans="1:34" x14ac:dyDescent="0.2">
      <c r="A528" s="347">
        <f t="shared" ca="1" si="238"/>
        <v>0.1</v>
      </c>
      <c r="B528" s="304">
        <f t="shared" ca="1" si="239"/>
        <v>16.39999999999992</v>
      </c>
      <c r="D528" s="306">
        <f t="shared" ca="1" si="240"/>
        <v>-0.1620501054064887</v>
      </c>
      <c r="E528" s="307">
        <f t="shared" ca="1" si="241"/>
        <v>-10.08842112368314</v>
      </c>
      <c r="F528" s="304">
        <f t="shared" ca="1" si="242"/>
        <v>10.089722543531039</v>
      </c>
      <c r="G528" s="306">
        <f t="shared" ca="1" si="243"/>
        <v>14.546448523067614</v>
      </c>
      <c r="H528" s="307">
        <f t="shared" ca="1" si="244"/>
        <v>24.011507923597296</v>
      </c>
      <c r="I528" s="304">
        <f t="shared" ca="1" si="245"/>
        <v>28.074039207054472</v>
      </c>
      <c r="J528" s="306">
        <f t="shared" ca="1" si="246"/>
        <v>287.36677082219012</v>
      </c>
      <c r="K528" s="307">
        <f t="shared" ca="1" si="247"/>
        <v>1897.6608837673834</v>
      </c>
      <c r="L528" s="304">
        <f t="shared" ca="1" si="232"/>
        <v>1919.2958320054727</v>
      </c>
      <c r="M528" s="306">
        <f t="shared" ca="1" si="248"/>
        <v>1.0261145913652732</v>
      </c>
      <c r="N528" s="304">
        <f t="shared" ca="1" si="249"/>
        <v>58.792035382021261</v>
      </c>
      <c r="P528" s="310">
        <f t="shared" ca="1" si="250"/>
        <v>23</v>
      </c>
      <c r="Q528" s="304">
        <f t="shared" ca="1" si="251"/>
        <v>0</v>
      </c>
      <c r="R528" s="306">
        <f t="shared" ca="1" si="252"/>
        <v>0</v>
      </c>
      <c r="S528" s="307">
        <f t="shared" ca="1" si="253"/>
        <v>6.1519999999999921</v>
      </c>
      <c r="T528" s="304">
        <f t="shared" ca="1" si="233"/>
        <v>60.351119999999923</v>
      </c>
      <c r="U528" s="311">
        <f t="shared" ca="1" si="234"/>
        <v>0</v>
      </c>
      <c r="V528" s="306">
        <f t="shared" ca="1" si="235"/>
        <v>1.0126819268547276</v>
      </c>
      <c r="W528" s="304">
        <f t="shared" ca="1" si="236"/>
        <v>1.8632986852285416</v>
      </c>
      <c r="Y528" s="314" t="str">
        <f t="shared" ca="1" si="254"/>
        <v/>
      </c>
      <c r="Z528" s="315" t="str">
        <f t="shared" ca="1" si="255"/>
        <v/>
      </c>
      <c r="AA528" s="316" t="str">
        <f t="shared" ca="1" si="256"/>
        <v/>
      </c>
      <c r="AC528" s="310" t="e">
        <f t="shared" ca="1" si="257"/>
        <v>#N/A</v>
      </c>
      <c r="AD528" s="323" t="e">
        <f t="shared" ca="1" si="258"/>
        <v>#N/A</v>
      </c>
      <c r="AE528" s="324">
        <f t="shared" ca="1" si="237"/>
        <v>1897.6608837673834</v>
      </c>
      <c r="AG528" s="306">
        <f t="shared" ca="1" si="259"/>
        <v>-8.8006145306551335</v>
      </c>
      <c r="AH528" s="304">
        <f t="shared" ca="1" si="260"/>
        <v>-0.32214679693462228</v>
      </c>
    </row>
    <row r="529" spans="1:34" x14ac:dyDescent="0.2">
      <c r="A529" s="347">
        <f t="shared" ca="1" si="238"/>
        <v>0.1</v>
      </c>
      <c r="B529" s="304">
        <f t="shared" ca="1" si="239"/>
        <v>16.499999999999922</v>
      </c>
      <c r="D529" s="306">
        <f t="shared" ca="1" si="240"/>
        <v>-0.15693442592060192</v>
      </c>
      <c r="E529" s="307">
        <f t="shared" ca="1" si="241"/>
        <v>-10.069048262227176</v>
      </c>
      <c r="F529" s="304">
        <f t="shared" ca="1" si="242"/>
        <v>10.070271164228853</v>
      </c>
      <c r="G529" s="306">
        <f t="shared" ca="1" si="243"/>
        <v>14.530755080475554</v>
      </c>
      <c r="H529" s="307">
        <f t="shared" ca="1" si="244"/>
        <v>23.004603097374577</v>
      </c>
      <c r="I529" s="304">
        <f t="shared" ca="1" si="245"/>
        <v>27.209458040844954</v>
      </c>
      <c r="J529" s="306">
        <f t="shared" ca="1" si="246"/>
        <v>288.82063100236729</v>
      </c>
      <c r="K529" s="307">
        <f t="shared" ca="1" si="247"/>
        <v>1900.011689318432</v>
      </c>
      <c r="L529" s="304">
        <f t="shared" ca="1" si="232"/>
        <v>1921.8381244109212</v>
      </c>
      <c r="M529" s="306">
        <f t="shared" ca="1" si="248"/>
        <v>1.0074324587118215</v>
      </c>
      <c r="N529" s="304">
        <f t="shared" ca="1" si="249"/>
        <v>57.721628028674935</v>
      </c>
      <c r="P529" s="310">
        <f t="shared" ca="1" si="250"/>
        <v>23</v>
      </c>
      <c r="Q529" s="304">
        <f t="shared" ca="1" si="251"/>
        <v>0</v>
      </c>
      <c r="R529" s="306">
        <f t="shared" ca="1" si="252"/>
        <v>0</v>
      </c>
      <c r="S529" s="307">
        <f t="shared" ca="1" si="253"/>
        <v>6.1519999999999921</v>
      </c>
      <c r="T529" s="304">
        <f t="shared" ca="1" si="233"/>
        <v>60.351119999999923</v>
      </c>
      <c r="U529" s="311">
        <f t="shared" ca="1" si="234"/>
        <v>0</v>
      </c>
      <c r="V529" s="306">
        <f t="shared" ca="1" si="235"/>
        <v>1.0124417281201448</v>
      </c>
      <c r="W529" s="304">
        <f t="shared" ca="1" si="236"/>
        <v>1.7498846987907293</v>
      </c>
      <c r="Y529" s="314" t="str">
        <f t="shared" ca="1" si="254"/>
        <v/>
      </c>
      <c r="Z529" s="315" t="str">
        <f t="shared" ca="1" si="255"/>
        <v/>
      </c>
      <c r="AA529" s="316" t="str">
        <f t="shared" ca="1" si="256"/>
        <v/>
      </c>
      <c r="AC529" s="310" t="e">
        <f t="shared" ca="1" si="257"/>
        <v>#N/A</v>
      </c>
      <c r="AD529" s="323" t="e">
        <f t="shared" ca="1" si="258"/>
        <v>#N/A</v>
      </c>
      <c r="AE529" s="324">
        <f t="shared" ca="1" si="237"/>
        <v>1900.011689318432</v>
      </c>
      <c r="AG529" s="306">
        <f t="shared" ca="1" si="259"/>
        <v>-8.6932937893160727</v>
      </c>
      <c r="AH529" s="304">
        <f t="shared" ca="1" si="260"/>
        <v>-0.30287689941946422</v>
      </c>
    </row>
    <row r="530" spans="1:34" x14ac:dyDescent="0.2">
      <c r="A530" s="347">
        <f t="shared" ca="1" si="238"/>
        <v>0.1</v>
      </c>
      <c r="B530" s="304">
        <f t="shared" ca="1" si="239"/>
        <v>16.599999999999923</v>
      </c>
      <c r="D530" s="306">
        <f t="shared" ca="1" si="240"/>
        <v>-0.15190126758278572</v>
      </c>
      <c r="E530" s="307">
        <f t="shared" ca="1" si="241"/>
        <v>-10.050484981776716</v>
      </c>
      <c r="F530" s="304">
        <f t="shared" ca="1" si="242"/>
        <v>10.051632820791484</v>
      </c>
      <c r="G530" s="306">
        <f t="shared" ca="1" si="243"/>
        <v>14.515564953717275</v>
      </c>
      <c r="H530" s="307">
        <f t="shared" ca="1" si="244"/>
        <v>21.999554599196905</v>
      </c>
      <c r="I530" s="304">
        <f t="shared" ca="1" si="245"/>
        <v>26.356821289537759</v>
      </c>
      <c r="J530" s="306">
        <f t="shared" ca="1" si="246"/>
        <v>290.27294700407691</v>
      </c>
      <c r="K530" s="307">
        <f t="shared" ca="1" si="247"/>
        <v>1902.2618972032606</v>
      </c>
      <c r="L530" s="304">
        <f t="shared" ca="1" si="232"/>
        <v>1924.2813487933047</v>
      </c>
      <c r="M530" s="306">
        <f t="shared" ca="1" si="248"/>
        <v>0.98755445040120171</v>
      </c>
      <c r="N530" s="304">
        <f t="shared" ca="1" si="249"/>
        <v>56.582702047350445</v>
      </c>
      <c r="P530" s="310">
        <f t="shared" ca="1" si="250"/>
        <v>23</v>
      </c>
      <c r="Q530" s="304">
        <f t="shared" ca="1" si="251"/>
        <v>0</v>
      </c>
      <c r="R530" s="306">
        <f t="shared" ca="1" si="252"/>
        <v>0</v>
      </c>
      <c r="S530" s="307">
        <f t="shared" ca="1" si="253"/>
        <v>6.1519999999999921</v>
      </c>
      <c r="T530" s="304">
        <f t="shared" ca="1" si="233"/>
        <v>60.351119999999923</v>
      </c>
      <c r="U530" s="311">
        <f t="shared" ca="1" si="234"/>
        <v>0</v>
      </c>
      <c r="V530" s="306">
        <f t="shared" ca="1" si="235"/>
        <v>1.012211856473002</v>
      </c>
      <c r="W530" s="304">
        <f t="shared" ca="1" si="236"/>
        <v>1.6415612731433133</v>
      </c>
      <c r="Y530" s="314" t="str">
        <f t="shared" ca="1" si="254"/>
        <v/>
      </c>
      <c r="Z530" s="315" t="str">
        <f t="shared" ca="1" si="255"/>
        <v/>
      </c>
      <c r="AA530" s="316" t="str">
        <f t="shared" ca="1" si="256"/>
        <v/>
      </c>
      <c r="AC530" s="310" t="e">
        <f t="shared" ca="1" si="257"/>
        <v>#N/A</v>
      </c>
      <c r="AD530" s="323" t="e">
        <f t="shared" ca="1" si="258"/>
        <v>#N/A</v>
      </c>
      <c r="AE530" s="324">
        <f t="shared" ca="1" si="237"/>
        <v>1902.2618972032606</v>
      </c>
      <c r="AG530" s="306">
        <f t="shared" ca="1" si="259"/>
        <v>-8.5784383396086259</v>
      </c>
      <c r="AH530" s="304">
        <f t="shared" ca="1" si="260"/>
        <v>-0.28444159603230357</v>
      </c>
    </row>
    <row r="531" spans="1:34" x14ac:dyDescent="0.2">
      <c r="A531" s="347">
        <f t="shared" ca="1" si="238"/>
        <v>0.1</v>
      </c>
      <c r="B531" s="304">
        <f t="shared" ca="1" si="239"/>
        <v>16.699999999999925</v>
      </c>
      <c r="D531" s="306">
        <f t="shared" ca="1" si="240"/>
        <v>-0.14695409166440432</v>
      </c>
      <c r="E531" s="307">
        <f t="shared" ca="1" si="241"/>
        <v>-10.032721235684219</v>
      </c>
      <c r="F531" s="304">
        <f t="shared" ca="1" si="242"/>
        <v>10.033797431581226</v>
      </c>
      <c r="G531" s="306">
        <f t="shared" ca="1" si="243"/>
        <v>14.500869544550834</v>
      </c>
      <c r="H531" s="307">
        <f t="shared" ca="1" si="244"/>
        <v>20.996282475628483</v>
      </c>
      <c r="I531" s="304">
        <f t="shared" ca="1" si="245"/>
        <v>25.517035394897771</v>
      </c>
      <c r="J531" s="306">
        <f t="shared" ca="1" si="246"/>
        <v>291.72376872899031</v>
      </c>
      <c r="K531" s="307">
        <f t="shared" ca="1" si="247"/>
        <v>1904.4116890570019</v>
      </c>
      <c r="L531" s="304">
        <f t="shared" ca="1" si="232"/>
        <v>1926.625713172745</v>
      </c>
      <c r="M531" s="306">
        <f t="shared" ca="1" si="248"/>
        <v>0.96637999951727249</v>
      </c>
      <c r="N531" s="304">
        <f t="shared" ca="1" si="249"/>
        <v>55.369495378194244</v>
      </c>
      <c r="P531" s="310">
        <f t="shared" ca="1" si="250"/>
        <v>23</v>
      </c>
      <c r="Q531" s="304">
        <f t="shared" ca="1" si="251"/>
        <v>0</v>
      </c>
      <c r="R531" s="306">
        <f t="shared" ca="1" si="252"/>
        <v>0</v>
      </c>
      <c r="S531" s="307">
        <f t="shared" ca="1" si="253"/>
        <v>6.1519999999999921</v>
      </c>
      <c r="T531" s="304">
        <f t="shared" ca="1" si="233"/>
        <v>60.351119999999923</v>
      </c>
      <c r="U531" s="311">
        <f t="shared" ca="1" si="234"/>
        <v>0</v>
      </c>
      <c r="V531" s="306">
        <f t="shared" ca="1" si="235"/>
        <v>1.0119922870140086</v>
      </c>
      <c r="W531" s="304">
        <f t="shared" ca="1" si="236"/>
        <v>1.538286570627543</v>
      </c>
      <c r="Y531" s="314" t="str">
        <f t="shared" ca="1" si="254"/>
        <v/>
      </c>
      <c r="Z531" s="315" t="str">
        <f t="shared" ca="1" si="255"/>
        <v/>
      </c>
      <c r="AA531" s="316" t="str">
        <f t="shared" ca="1" si="256"/>
        <v/>
      </c>
      <c r="AC531" s="310" t="e">
        <f t="shared" ca="1" si="257"/>
        <v>#N/A</v>
      </c>
      <c r="AD531" s="323" t="e">
        <f t="shared" ca="1" si="258"/>
        <v>#N/A</v>
      </c>
      <c r="AE531" s="324">
        <f t="shared" ca="1" si="237"/>
        <v>1904.4116890570019</v>
      </c>
      <c r="AG531" s="306">
        <f t="shared" ca="1" si="259"/>
        <v>-8.4550605635507825</v>
      </c>
      <c r="AH531" s="304">
        <f t="shared" ca="1" si="260"/>
        <v>-0.26683375701289264</v>
      </c>
    </row>
    <row r="532" spans="1:34" x14ac:dyDescent="0.2">
      <c r="A532" s="347">
        <f t="shared" ca="1" si="238"/>
        <v>0.1</v>
      </c>
      <c r="B532" s="304">
        <f t="shared" ca="1" si="239"/>
        <v>16.799999999999926</v>
      </c>
      <c r="D532" s="306">
        <f t="shared" ca="1" si="240"/>
        <v>-0.14209694837979256</v>
      </c>
      <c r="E532" s="307">
        <f t="shared" ca="1" si="241"/>
        <v>-10.015746811109551</v>
      </c>
      <c r="F532" s="304">
        <f t="shared" ca="1" si="242"/>
        <v>10.016754750266674</v>
      </c>
      <c r="G532" s="306">
        <f t="shared" ca="1" si="243"/>
        <v>14.486659849712856</v>
      </c>
      <c r="H532" s="307">
        <f t="shared" ca="1" si="244"/>
        <v>19.994707794517527</v>
      </c>
      <c r="I532" s="304">
        <f t="shared" ca="1" si="245"/>
        <v>24.691124992381827</v>
      </c>
      <c r="J532" s="306">
        <f t="shared" ca="1" si="246"/>
        <v>293.17314519870348</v>
      </c>
      <c r="K532" s="307">
        <f t="shared" ca="1" si="247"/>
        <v>1906.4612385705093</v>
      </c>
      <c r="L532" s="304">
        <f t="shared" ca="1" si="232"/>
        <v>1928.8714180155971</v>
      </c>
      <c r="M532" s="306">
        <f t="shared" ca="1" si="248"/>
        <v>0.94379974333064398</v>
      </c>
      <c r="N532" s="304">
        <f t="shared" ca="1" si="249"/>
        <v>54.075741998376266</v>
      </c>
      <c r="P532" s="310">
        <f t="shared" ca="1" si="250"/>
        <v>23</v>
      </c>
      <c r="Q532" s="304">
        <f t="shared" ca="1" si="251"/>
        <v>0</v>
      </c>
      <c r="R532" s="306">
        <f t="shared" ca="1" si="252"/>
        <v>0</v>
      </c>
      <c r="S532" s="307">
        <f t="shared" ca="1" si="253"/>
        <v>6.1519999999999921</v>
      </c>
      <c r="T532" s="304">
        <f t="shared" ca="1" si="233"/>
        <v>60.351119999999923</v>
      </c>
      <c r="U532" s="311">
        <f t="shared" ca="1" si="234"/>
        <v>0</v>
      </c>
      <c r="V532" s="306">
        <f t="shared" ca="1" si="235"/>
        <v>1.01178299595583</v>
      </c>
      <c r="W532" s="304">
        <f t="shared" ca="1" si="236"/>
        <v>1.4400207376372545</v>
      </c>
      <c r="Y532" s="314" t="str">
        <f t="shared" ca="1" si="254"/>
        <v/>
      </c>
      <c r="Z532" s="315" t="str">
        <f t="shared" ca="1" si="255"/>
        <v/>
      </c>
      <c r="AA532" s="316" t="str">
        <f t="shared" ca="1" si="256"/>
        <v/>
      </c>
      <c r="AC532" s="310" t="e">
        <f t="shared" ca="1" si="257"/>
        <v>#N/A</v>
      </c>
      <c r="AD532" s="323" t="e">
        <f t="shared" ca="1" si="258"/>
        <v>#N/A</v>
      </c>
      <c r="AE532" s="324">
        <f t="shared" ca="1" si="237"/>
        <v>1906.4612385705093</v>
      </c>
      <c r="AG532" s="306">
        <f t="shared" ca="1" si="259"/>
        <v>-8.3220474195065162</v>
      </c>
      <c r="AH532" s="304">
        <f t="shared" ca="1" si="260"/>
        <v>-0.25004658170148653</v>
      </c>
    </row>
    <row r="533" spans="1:34" x14ac:dyDescent="0.2">
      <c r="A533" s="347">
        <f t="shared" ca="1" si="238"/>
        <v>0.1</v>
      </c>
      <c r="B533" s="304">
        <f t="shared" ca="1" si="239"/>
        <v>16.899999999999928</v>
      </c>
      <c r="D533" s="306">
        <f t="shared" ca="1" si="240"/>
        <v>-0.13733454864183783</v>
      </c>
      <c r="E533" s="307">
        <f t="shared" ca="1" si="241"/>
        <v>-9.9995512284179107</v>
      </c>
      <c r="F533" s="304">
        <f t="shared" ca="1" si="242"/>
        <v>10.000494265185337</v>
      </c>
      <c r="G533" s="306">
        <f t="shared" ca="1" si="243"/>
        <v>14.472926394848672</v>
      </c>
      <c r="H533" s="307">
        <f t="shared" ca="1" si="244"/>
        <v>18.994752671675737</v>
      </c>
      <c r="I533" s="304">
        <f t="shared" ca="1" si="245"/>
        <v>23.880247642954625</v>
      </c>
      <c r="J533" s="306">
        <f t="shared" ca="1" si="246"/>
        <v>294.62112451093157</v>
      </c>
      <c r="K533" s="307">
        <f t="shared" ca="1" si="247"/>
        <v>1908.4107115938189</v>
      </c>
      <c r="L533" s="304">
        <f t="shared" ca="1" si="232"/>
        <v>1931.0186563402519</v>
      </c>
      <c r="M533" s="306">
        <f t="shared" ca="1" si="248"/>
        <v>0.91969516029850928</v>
      </c>
      <c r="N533" s="304">
        <f t="shared" ca="1" si="249"/>
        <v>52.694651123712291</v>
      </c>
      <c r="P533" s="310">
        <f t="shared" ca="1" si="250"/>
        <v>23</v>
      </c>
      <c r="Q533" s="304">
        <f t="shared" ca="1" si="251"/>
        <v>0</v>
      </c>
      <c r="R533" s="306">
        <f t="shared" ca="1" si="252"/>
        <v>0</v>
      </c>
      <c r="S533" s="307">
        <f t="shared" ca="1" si="253"/>
        <v>6.1519999999999921</v>
      </c>
      <c r="T533" s="304">
        <f t="shared" ca="1" si="233"/>
        <v>60.351119999999923</v>
      </c>
      <c r="U533" s="311">
        <f t="shared" ca="1" si="234"/>
        <v>0</v>
      </c>
      <c r="V533" s="306">
        <f t="shared" ca="1" si="235"/>
        <v>1.0115839606096779</v>
      </c>
      <c r="W533" s="304">
        <f t="shared" ca="1" si="236"/>
        <v>1.346725864826483</v>
      </c>
      <c r="Y533" s="314" t="str">
        <f t="shared" ca="1" si="254"/>
        <v/>
      </c>
      <c r="Z533" s="315" t="str">
        <f t="shared" ca="1" si="255"/>
        <v/>
      </c>
      <c r="AA533" s="316" t="str">
        <f t="shared" ca="1" si="256"/>
        <v/>
      </c>
      <c r="AC533" s="310" t="e">
        <f t="shared" ca="1" si="257"/>
        <v>#N/A</v>
      </c>
      <c r="AD533" s="323" t="e">
        <f t="shared" ca="1" si="258"/>
        <v>#N/A</v>
      </c>
      <c r="AE533" s="324">
        <f t="shared" ca="1" si="237"/>
        <v>1908.4107115938189</v>
      </c>
      <c r="AG533" s="306">
        <f t="shared" ca="1" si="259"/>
        <v>-8.1781459468783062</v>
      </c>
      <c r="AH533" s="304">
        <f t="shared" ca="1" si="260"/>
        <v>-0.23407359194363725</v>
      </c>
    </row>
    <row r="534" spans="1:34" x14ac:dyDescent="0.2">
      <c r="A534" s="347">
        <f t="shared" ca="1" si="238"/>
        <v>0.1</v>
      </c>
      <c r="B534" s="304">
        <f t="shared" ca="1" si="239"/>
        <v>16.999999999999929</v>
      </c>
      <c r="D534" s="306">
        <f t="shared" ca="1" si="240"/>
        <v>-0.13267234382132873</v>
      </c>
      <c r="E534" s="307">
        <f t="shared" ca="1" si="241"/>
        <v>-9.9841236214781439</v>
      </c>
      <c r="F534" s="304">
        <f t="shared" ca="1" si="242"/>
        <v>9.9850050796067649</v>
      </c>
      <c r="G534" s="306">
        <f t="shared" ca="1" si="243"/>
        <v>14.45965916046654</v>
      </c>
      <c r="H534" s="307">
        <f t="shared" ca="1" si="244"/>
        <v>17.996340309527923</v>
      </c>
      <c r="I534" s="304">
        <f t="shared" ca="1" si="245"/>
        <v>23.085710029652617</v>
      </c>
      <c r="J534" s="306">
        <f t="shared" ca="1" si="246"/>
        <v>296.0677537886973</v>
      </c>
      <c r="K534" s="307">
        <f t="shared" ca="1" si="247"/>
        <v>1910.260266242879</v>
      </c>
      <c r="L534" s="304">
        <f t="shared" ca="1" si="232"/>
        <v>1933.0676138251863</v>
      </c>
      <c r="M534" s="306">
        <f t="shared" ca="1" si="248"/>
        <v>0.89393839511937456</v>
      </c>
      <c r="N534" s="304">
        <f t="shared" ca="1" si="249"/>
        <v>51.218897185038351</v>
      </c>
      <c r="P534" s="310">
        <f t="shared" ca="1" si="250"/>
        <v>23</v>
      </c>
      <c r="Q534" s="304">
        <f t="shared" ca="1" si="251"/>
        <v>0</v>
      </c>
      <c r="R534" s="306">
        <f t="shared" ca="1" si="252"/>
        <v>0</v>
      </c>
      <c r="S534" s="307">
        <f t="shared" ca="1" si="253"/>
        <v>6.1519999999999921</v>
      </c>
      <c r="T534" s="304">
        <f t="shared" ca="1" si="233"/>
        <v>60.351119999999923</v>
      </c>
      <c r="U534" s="311">
        <f t="shared" ca="1" si="234"/>
        <v>0</v>
      </c>
      <c r="V534" s="306">
        <f t="shared" ca="1" si="235"/>
        <v>1.011395159371715</v>
      </c>
      <c r="W534" s="304">
        <f t="shared" ca="1" si="236"/>
        <v>1.2583659478527141</v>
      </c>
      <c r="Y534" s="314" t="str">
        <f t="shared" ca="1" si="254"/>
        <v/>
      </c>
      <c r="Z534" s="315" t="str">
        <f t="shared" ca="1" si="255"/>
        <v/>
      </c>
      <c r="AA534" s="316" t="str">
        <f t="shared" ca="1" si="256"/>
        <v/>
      </c>
      <c r="AC534" s="310">
        <f t="shared" ca="1" si="257"/>
        <v>16.999999999999929</v>
      </c>
      <c r="AD534" s="323">
        <f t="shared" ca="1" si="258"/>
        <v>296.0677537886973</v>
      </c>
      <c r="AE534" s="324">
        <f t="shared" ca="1" si="237"/>
        <v>1910.260266242879</v>
      </c>
      <c r="AG534" s="306">
        <f t="shared" ca="1" si="259"/>
        <v>-8.0219484640348195</v>
      </c>
      <c r="AH534" s="304">
        <f t="shared" ca="1" si="260"/>
        <v>-0.21890862562199037</v>
      </c>
    </row>
    <row r="535" spans="1:34" x14ac:dyDescent="0.2">
      <c r="A535" s="347">
        <f t="shared" ca="1" si="238"/>
        <v>0.1</v>
      </c>
      <c r="B535" s="304">
        <f t="shared" ca="1" si="239"/>
        <v>17.09999999999993</v>
      </c>
      <c r="D535" s="306">
        <f t="shared" ca="1" si="240"/>
        <v>-0.12811661346669853</v>
      </c>
      <c r="E535" s="307">
        <f t="shared" ca="1" si="241"/>
        <v>-9.9694525949515231</v>
      </c>
      <c r="F535" s="304">
        <f t="shared" ca="1" si="242"/>
        <v>9.9702757689861237</v>
      </c>
      <c r="G535" s="306">
        <f t="shared" ca="1" si="243"/>
        <v>14.446847499119871</v>
      </c>
      <c r="H535" s="307">
        <f t="shared" ca="1" si="244"/>
        <v>16.999395050032771</v>
      </c>
      <c r="I535" s="304">
        <f t="shared" ca="1" si="245"/>
        <v>22.308985515480185</v>
      </c>
      <c r="J535" s="306">
        <f t="shared" ca="1" si="246"/>
        <v>297.51307912167664</v>
      </c>
      <c r="K535" s="307">
        <f t="shared" ca="1" si="247"/>
        <v>1912.0100530108571</v>
      </c>
      <c r="L535" s="304">
        <f t="shared" ca="1" si="232"/>
        <v>1935.0184689203982</v>
      </c>
      <c r="M535" s="306">
        <f t="shared" ca="1" si="248"/>
        <v>0.86639237061611618</v>
      </c>
      <c r="N535" s="304">
        <f t="shared" ca="1" si="249"/>
        <v>49.640626238637694</v>
      </c>
      <c r="P535" s="310">
        <f t="shared" ca="1" si="250"/>
        <v>23</v>
      </c>
      <c r="Q535" s="304">
        <f t="shared" ca="1" si="251"/>
        <v>0</v>
      </c>
      <c r="R535" s="306">
        <f t="shared" ca="1" si="252"/>
        <v>0</v>
      </c>
      <c r="S535" s="307">
        <f t="shared" ca="1" si="253"/>
        <v>6.1519999999999921</v>
      </c>
      <c r="T535" s="304">
        <f t="shared" ca="1" si="233"/>
        <v>60.351119999999923</v>
      </c>
      <c r="U535" s="311">
        <f t="shared" ca="1" si="234"/>
        <v>0</v>
      </c>
      <c r="V535" s="306">
        <f t="shared" ca="1" si="235"/>
        <v>1.011216571709133</v>
      </c>
      <c r="W535" s="304">
        <f t="shared" ca="1" si="236"/>
        <v>1.1749068483724334</v>
      </c>
      <c r="Y535" s="314" t="str">
        <f t="shared" ca="1" si="254"/>
        <v/>
      </c>
      <c r="Z535" s="315" t="str">
        <f t="shared" ca="1" si="255"/>
        <v/>
      </c>
      <c r="AA535" s="316" t="str">
        <f t="shared" ca="1" si="256"/>
        <v/>
      </c>
      <c r="AC535" s="310" t="e">
        <f t="shared" ca="1" si="257"/>
        <v>#N/A</v>
      </c>
      <c r="AD535" s="323" t="e">
        <f t="shared" ca="1" si="258"/>
        <v>#N/A</v>
      </c>
      <c r="AE535" s="324">
        <f t="shared" ca="1" si="237"/>
        <v>1912.0100530108571</v>
      </c>
      <c r="AG535" s="306">
        <f t="shared" ca="1" si="259"/>
        <v>-7.8518782367597444</v>
      </c>
      <c r="AH535" s="304">
        <f t="shared" ca="1" si="260"/>
        <v>-0.20454583027514883</v>
      </c>
    </row>
    <row r="536" spans="1:34" x14ac:dyDescent="0.2">
      <c r="A536" s="347">
        <f t="shared" ca="1" si="238"/>
        <v>0.1</v>
      </c>
      <c r="B536" s="304">
        <f t="shared" ca="1" si="239"/>
        <v>17.199999999999932</v>
      </c>
      <c r="D536" s="306">
        <f t="shared" ca="1" si="240"/>
        <v>-0.12367456040060841</v>
      </c>
      <c r="E536" s="307">
        <f t="shared" ca="1" si="241"/>
        <v>-9.9555260540416981</v>
      </c>
      <c r="F536" s="304">
        <f t="shared" ca="1" si="242"/>
        <v>9.9562942106786565</v>
      </c>
      <c r="G536" s="306">
        <f t="shared" ca="1" si="243"/>
        <v>14.434480043079811</v>
      </c>
      <c r="H536" s="307">
        <f t="shared" ca="1" si="244"/>
        <v>16.003842444628599</v>
      </c>
      <c r="I536" s="304">
        <f t="shared" ca="1" si="245"/>
        <v>21.551732809836086</v>
      </c>
      <c r="J536" s="306">
        <f t="shared" ca="1" si="246"/>
        <v>298.95714549878664</v>
      </c>
      <c r="K536" s="307">
        <f t="shared" ca="1" si="247"/>
        <v>1913.6602148855902</v>
      </c>
      <c r="L536" s="304">
        <f t="shared" ca="1" si="232"/>
        <v>1936.8713929635974</v>
      </c>
      <c r="M536" s="306">
        <f t="shared" ca="1" si="248"/>
        <v>0.83691131759786097</v>
      </c>
      <c r="N536" s="304">
        <f t="shared" ca="1" si="249"/>
        <v>47.951486325090258</v>
      </c>
      <c r="P536" s="310">
        <f t="shared" ca="1" si="250"/>
        <v>23</v>
      </c>
      <c r="Q536" s="304">
        <f t="shared" ca="1" si="251"/>
        <v>0</v>
      </c>
      <c r="R536" s="306">
        <f t="shared" ca="1" si="252"/>
        <v>0</v>
      </c>
      <c r="S536" s="307">
        <f t="shared" ca="1" si="253"/>
        <v>6.1519999999999921</v>
      </c>
      <c r="T536" s="304">
        <f t="shared" ca="1" si="233"/>
        <v>60.351119999999923</v>
      </c>
      <c r="U536" s="311">
        <f t="shared" ca="1" si="234"/>
        <v>0</v>
      </c>
      <c r="V536" s="306">
        <f t="shared" ca="1" si="235"/>
        <v>1.0110481781457534</v>
      </c>
      <c r="W536" s="304">
        <f t="shared" ca="1" si="236"/>
        <v>1.0963162549599221</v>
      </c>
      <c r="Y536" s="314" t="str">
        <f t="shared" ca="1" si="254"/>
        <v/>
      </c>
      <c r="Z536" s="315" t="str">
        <f t="shared" ca="1" si="255"/>
        <v/>
      </c>
      <c r="AA536" s="316" t="str">
        <f t="shared" ca="1" si="256"/>
        <v/>
      </c>
      <c r="AC536" s="310" t="e">
        <f t="shared" ca="1" si="257"/>
        <v>#N/A</v>
      </c>
      <c r="AD536" s="323" t="e">
        <f t="shared" ca="1" si="258"/>
        <v>#N/A</v>
      </c>
      <c r="AE536" s="324">
        <f t="shared" ca="1" si="237"/>
        <v>1913.6602148855902</v>
      </c>
      <c r="AG536" s="306">
        <f t="shared" ca="1" si="259"/>
        <v>-7.6661768289957948</v>
      </c>
      <c r="AH536" s="304">
        <f t="shared" ca="1" si="260"/>
        <v>-0.19097965675754794</v>
      </c>
    </row>
    <row r="537" spans="1:34" x14ac:dyDescent="0.2">
      <c r="A537" s="347">
        <f t="shared" ca="1" si="238"/>
        <v>0.1</v>
      </c>
      <c r="B537" s="304">
        <f t="shared" ca="1" si="239"/>
        <v>17.299999999999933</v>
      </c>
      <c r="D537" s="306">
        <f t="shared" ca="1" si="240"/>
        <v>-0.1193544117900943</v>
      </c>
      <c r="E537" s="307">
        <f t="shared" ca="1" si="241"/>
        <v>-9.9423310015781112</v>
      </c>
      <c r="F537" s="304">
        <f t="shared" ca="1" si="242"/>
        <v>9.943047380987128</v>
      </c>
      <c r="G537" s="306">
        <f t="shared" ca="1" si="243"/>
        <v>14.422544601900801</v>
      </c>
      <c r="H537" s="307">
        <f t="shared" ca="1" si="244"/>
        <v>15.009609344470789</v>
      </c>
      <c r="I537" s="304">
        <f t="shared" ca="1" si="245"/>
        <v>20.815815272706541</v>
      </c>
      <c r="J537" s="306">
        <f t="shared" ca="1" si="246"/>
        <v>300.39999673103569</v>
      </c>
      <c r="K537" s="307">
        <f t="shared" ca="1" si="247"/>
        <v>1915.2108874750452</v>
      </c>
      <c r="L537" s="304">
        <f t="shared" ca="1" si="232"/>
        <v>1938.6265503028055</v>
      </c>
      <c r="M537" s="306">
        <f t="shared" ca="1" si="248"/>
        <v>0.8053418924945116</v>
      </c>
      <c r="N537" s="304">
        <f t="shared" ca="1" si="249"/>
        <v>46.142691505013985</v>
      </c>
      <c r="P537" s="310">
        <f t="shared" ca="1" si="250"/>
        <v>23</v>
      </c>
      <c r="Q537" s="304">
        <f t="shared" ca="1" si="251"/>
        <v>0</v>
      </c>
      <c r="R537" s="306">
        <f t="shared" ca="1" si="252"/>
        <v>0</v>
      </c>
      <c r="S537" s="307">
        <f t="shared" ca="1" si="253"/>
        <v>6.1519999999999921</v>
      </c>
      <c r="T537" s="304">
        <f t="shared" ca="1" si="233"/>
        <v>60.351119999999923</v>
      </c>
      <c r="U537" s="311">
        <f t="shared" ca="1" si="234"/>
        <v>0</v>
      </c>
      <c r="V537" s="306">
        <f t="shared" ca="1" si="235"/>
        <v>1.0108899602469454</v>
      </c>
      <c r="W537" s="304">
        <f t="shared" ca="1" si="236"/>
        <v>1.0225636435653045</v>
      </c>
      <c r="Y537" s="314" t="str">
        <f t="shared" ca="1" si="254"/>
        <v/>
      </c>
      <c r="Z537" s="315" t="str">
        <f t="shared" ca="1" si="255"/>
        <v/>
      </c>
      <c r="AA537" s="316" t="str">
        <f t="shared" ca="1" si="256"/>
        <v/>
      </c>
      <c r="AC537" s="310" t="e">
        <f t="shared" ca="1" si="257"/>
        <v>#N/A</v>
      </c>
      <c r="AD537" s="323" t="e">
        <f t="shared" ca="1" si="258"/>
        <v>#N/A</v>
      </c>
      <c r="AE537" s="324">
        <f t="shared" ca="1" si="237"/>
        <v>1915.2108874750452</v>
      </c>
      <c r="AG537" s="306">
        <f t="shared" ca="1" si="259"/>
        <v>-7.462894941015346</v>
      </c>
      <c r="AH537" s="304">
        <f t="shared" ca="1" si="260"/>
        <v>-0.17820485288685364</v>
      </c>
    </row>
    <row r="538" spans="1:34" x14ac:dyDescent="0.2">
      <c r="A538" s="347">
        <f t="shared" ca="1" si="238"/>
        <v>0.1</v>
      </c>
      <c r="B538" s="304">
        <f t="shared" ca="1" si="239"/>
        <v>17.399999999999935</v>
      </c>
      <c r="D538" s="306">
        <f t="shared" ca="1" si="240"/>
        <v>-0.11516552359268822</v>
      </c>
      <c r="E538" s="307">
        <f t="shared" ca="1" si="241"/>
        <v>-9.9298532968204434</v>
      </c>
      <c r="F538" s="304">
        <f t="shared" ca="1" si="242"/>
        <v>9.9305211139295313</v>
      </c>
      <c r="G538" s="306">
        <f t="shared" ca="1" si="243"/>
        <v>14.411028049541533</v>
      </c>
      <c r="H538" s="307">
        <f t="shared" ca="1" si="244"/>
        <v>14.016624014788745</v>
      </c>
      <c r="I538" s="304">
        <f t="shared" ca="1" si="245"/>
        <v>20.103320079445222</v>
      </c>
      <c r="J538" s="306">
        <f t="shared" ca="1" si="246"/>
        <v>301.84167536360781</v>
      </c>
      <c r="K538" s="307">
        <f t="shared" ca="1" si="247"/>
        <v>1916.6621991430081</v>
      </c>
      <c r="L538" s="304">
        <f t="shared" ca="1" si="232"/>
        <v>1940.2840984273466</v>
      </c>
      <c r="M538" s="306">
        <f t="shared" ca="1" si="248"/>
        <v>0.77152509604248309</v>
      </c>
      <c r="N538" s="304">
        <f t="shared" ca="1" si="249"/>
        <v>44.205131791659774</v>
      </c>
      <c r="P538" s="310">
        <f t="shared" ca="1" si="250"/>
        <v>23</v>
      </c>
      <c r="Q538" s="304">
        <f t="shared" ca="1" si="251"/>
        <v>0</v>
      </c>
      <c r="R538" s="306">
        <f t="shared" ca="1" si="252"/>
        <v>0</v>
      </c>
      <c r="S538" s="307">
        <f t="shared" ca="1" si="253"/>
        <v>6.1519999999999921</v>
      </c>
      <c r="T538" s="304">
        <f t="shared" ca="1" si="233"/>
        <v>60.351119999999923</v>
      </c>
      <c r="U538" s="311">
        <f t="shared" ca="1" si="234"/>
        <v>0</v>
      </c>
      <c r="V538" s="306">
        <f t="shared" ca="1" si="235"/>
        <v>1.0107419006036429</v>
      </c>
      <c r="W538" s="304">
        <f t="shared" ca="1" si="236"/>
        <v>0.95362023706271737</v>
      </c>
      <c r="Y538" s="314" t="str">
        <f t="shared" ca="1" si="254"/>
        <v/>
      </c>
      <c r="Z538" s="315" t="str">
        <f t="shared" ca="1" si="255"/>
        <v/>
      </c>
      <c r="AA538" s="316" t="str">
        <f t="shared" ca="1" si="256"/>
        <v/>
      </c>
      <c r="AC538" s="310" t="e">
        <f t="shared" ca="1" si="257"/>
        <v>#N/A</v>
      </c>
      <c r="AD538" s="323" t="e">
        <f t="shared" ca="1" si="258"/>
        <v>#N/A</v>
      </c>
      <c r="AE538" s="324">
        <f t="shared" ca="1" si="237"/>
        <v>1916.6621991430081</v>
      </c>
      <c r="AG538" s="306">
        <f t="shared" ca="1" si="259"/>
        <v>-7.239889322586305</v>
      </c>
      <c r="AH538" s="304">
        <f t="shared" ca="1" si="260"/>
        <v>-0.16621645701646715</v>
      </c>
    </row>
    <row r="539" spans="1:34" x14ac:dyDescent="0.2">
      <c r="A539" s="347">
        <f t="shared" ca="1" si="238"/>
        <v>0.1</v>
      </c>
      <c r="B539" s="304">
        <f t="shared" ca="1" si="239"/>
        <v>17.499999999999936</v>
      </c>
      <c r="D539" s="306">
        <f t="shared" ca="1" si="240"/>
        <v>-0.11111848410400281</v>
      </c>
      <c r="E539" s="307">
        <f t="shared" ca="1" si="241"/>
        <v>-9.9180773701518579</v>
      </c>
      <c r="F539" s="304">
        <f t="shared" ca="1" si="242"/>
        <v>9.9186998158946196</v>
      </c>
      <c r="G539" s="306">
        <f t="shared" ca="1" si="243"/>
        <v>14.399916201131132</v>
      </c>
      <c r="H539" s="307">
        <f t="shared" ca="1" si="244"/>
        <v>13.024816277773558</v>
      </c>
      <c r="I539" s="304">
        <f t="shared" ca="1" si="245"/>
        <v>19.416576054221142</v>
      </c>
      <c r="J539" s="306">
        <f t="shared" ca="1" si="246"/>
        <v>303.28222257614146</v>
      </c>
      <c r="K539" s="307">
        <f t="shared" ca="1" si="247"/>
        <v>1918.0142711576364</v>
      </c>
      <c r="L539" s="304">
        <f t="shared" ca="1" si="232"/>
        <v>1941.8441881096132</v>
      </c>
      <c r="M539" s="306">
        <f t="shared" ca="1" si="248"/>
        <v>0.73529925078435399</v>
      </c>
      <c r="N539" s="304">
        <f t="shared" ca="1" si="249"/>
        <v>42.129543749074969</v>
      </c>
      <c r="P539" s="310">
        <f t="shared" ca="1" si="250"/>
        <v>23</v>
      </c>
      <c r="Q539" s="304">
        <f t="shared" ca="1" si="251"/>
        <v>0</v>
      </c>
      <c r="R539" s="306">
        <f t="shared" ca="1" si="252"/>
        <v>0</v>
      </c>
      <c r="S539" s="307">
        <f t="shared" ca="1" si="253"/>
        <v>6.1519999999999921</v>
      </c>
      <c r="T539" s="304">
        <f t="shared" ca="1" si="233"/>
        <v>60.351119999999923</v>
      </c>
      <c r="U539" s="311">
        <f t="shared" ca="1" si="234"/>
        <v>0</v>
      </c>
      <c r="V539" s="306">
        <f t="shared" ca="1" si="235"/>
        <v>1.0106039828151816</v>
      </c>
      <c r="W539" s="304">
        <f t="shared" ca="1" si="236"/>
        <v>0.88945896336352048</v>
      </c>
      <c r="Y539" s="314" t="str">
        <f t="shared" ca="1" si="254"/>
        <v/>
      </c>
      <c r="Z539" s="315" t="str">
        <f t="shared" ca="1" si="255"/>
        <v/>
      </c>
      <c r="AA539" s="316" t="str">
        <f t="shared" ca="1" si="256"/>
        <v/>
      </c>
      <c r="AC539" s="310" t="e">
        <f t="shared" ca="1" si="257"/>
        <v>#N/A</v>
      </c>
      <c r="AD539" s="323" t="e">
        <f t="shared" ca="1" si="258"/>
        <v>#N/A</v>
      </c>
      <c r="AE539" s="324">
        <f t="shared" ca="1" si="237"/>
        <v>1918.0142711576364</v>
      </c>
      <c r="AG539" s="306">
        <f t="shared" ca="1" si="259"/>
        <v>-6.9948293357785118</v>
      </c>
      <c r="AH539" s="304">
        <f t="shared" ca="1" si="260"/>
        <v>-0.1550097914601298</v>
      </c>
    </row>
    <row r="540" spans="1:34" x14ac:dyDescent="0.2">
      <c r="A540" s="347">
        <f t="shared" ca="1" si="238"/>
        <v>0.1</v>
      </c>
      <c r="B540" s="304">
        <f t="shared" ca="1" si="239"/>
        <v>17.599999999999937</v>
      </c>
      <c r="D540" s="306">
        <f t="shared" ca="1" si="240"/>
        <v>-0.10722521006518719</v>
      </c>
      <c r="E540" s="307">
        <f t="shared" ca="1" si="241"/>
        <v>-9.9069858881078101</v>
      </c>
      <c r="F540" s="304">
        <f t="shared" ca="1" si="242"/>
        <v>9.9075661306317215</v>
      </c>
      <c r="G540" s="306">
        <f t="shared" ca="1" si="243"/>
        <v>14.389193680124613</v>
      </c>
      <c r="H540" s="307">
        <f t="shared" ca="1" si="244"/>
        <v>12.034117688962777</v>
      </c>
      <c r="I540" s="304">
        <f t="shared" ca="1" si="245"/>
        <v>18.75816844246647</v>
      </c>
      <c r="J540" s="306">
        <f t="shared" ca="1" si="246"/>
        <v>304.72167807020423</v>
      </c>
      <c r="K540" s="307">
        <f t="shared" ca="1" si="247"/>
        <v>1919.2672178559733</v>
      </c>
      <c r="L540" s="304">
        <f t="shared" ca="1" si="232"/>
        <v>1943.3069635604481</v>
      </c>
      <c r="M540" s="306">
        <f t="shared" ca="1" si="248"/>
        <v>0.6965043329093451</v>
      </c>
      <c r="N540" s="304">
        <f t="shared" ca="1" si="249"/>
        <v>39.906758688280327</v>
      </c>
      <c r="P540" s="310">
        <f t="shared" ca="1" si="250"/>
        <v>23</v>
      </c>
      <c r="Q540" s="304">
        <f t="shared" ca="1" si="251"/>
        <v>0</v>
      </c>
      <c r="R540" s="306">
        <f t="shared" ca="1" si="252"/>
        <v>0</v>
      </c>
      <c r="S540" s="307">
        <f t="shared" ca="1" si="253"/>
        <v>6.1519999999999921</v>
      </c>
      <c r="T540" s="304">
        <f t="shared" ca="1" si="233"/>
        <v>60.351119999999923</v>
      </c>
      <c r="U540" s="311">
        <f t="shared" ca="1" si="234"/>
        <v>0</v>
      </c>
      <c r="V540" s="306">
        <f t="shared" ca="1" si="235"/>
        <v>1.0104761914706437</v>
      </c>
      <c r="W540" s="304">
        <f t="shared" ca="1" si="236"/>
        <v>0.83005441148278158</v>
      </c>
      <c r="Y540" s="314" t="str">
        <f t="shared" ca="1" si="254"/>
        <v/>
      </c>
      <c r="Z540" s="315" t="str">
        <f t="shared" ca="1" si="255"/>
        <v/>
      </c>
      <c r="AA540" s="316" t="str">
        <f t="shared" ca="1" si="256"/>
        <v/>
      </c>
      <c r="AC540" s="310" t="e">
        <f t="shared" ca="1" si="257"/>
        <v>#N/A</v>
      </c>
      <c r="AD540" s="323" t="e">
        <f t="shared" ca="1" si="258"/>
        <v>#N/A</v>
      </c>
      <c r="AE540" s="324">
        <f t="shared" ca="1" si="237"/>
        <v>1919.2672178559733</v>
      </c>
      <c r="AG540" s="306">
        <f t="shared" ca="1" si="259"/>
        <v>-6.7252179135001926</v>
      </c>
      <c r="AH540" s="304">
        <f t="shared" ca="1" si="260"/>
        <v>-0.14458045568327724</v>
      </c>
    </row>
    <row r="541" spans="1:34" x14ac:dyDescent="0.2">
      <c r="A541" s="347">
        <f t="shared" ca="1" si="238"/>
        <v>0.1</v>
      </c>
      <c r="B541" s="304">
        <f t="shared" ca="1" si="239"/>
        <v>17.699999999999939</v>
      </c>
      <c r="D541" s="306">
        <f t="shared" ca="1" si="240"/>
        <v>-0.1034990258527278</v>
      </c>
      <c r="E541" s="307">
        <f t="shared" ca="1" si="241"/>
        <v>-9.8965593643044176</v>
      </c>
      <c r="F541" s="304">
        <f t="shared" ca="1" si="242"/>
        <v>9.8971005501386067</v>
      </c>
      <c r="G541" s="306">
        <f t="shared" ca="1" si="243"/>
        <v>14.378843777539341</v>
      </c>
      <c r="H541" s="307">
        <f t="shared" ca="1" si="244"/>
        <v>11.044461752532335</v>
      </c>
      <c r="I541" s="304">
        <f t="shared" ca="1" si="245"/>
        <v>18.130948231739879</v>
      </c>
      <c r="J541" s="306">
        <f t="shared" ca="1" si="246"/>
        <v>306.16007994308745</v>
      </c>
      <c r="K541" s="307">
        <f t="shared" ca="1" si="247"/>
        <v>1920.421146828048</v>
      </c>
      <c r="L541" s="304">
        <f t="shared" ca="1" si="232"/>
        <v>1944.672562601507</v>
      </c>
      <c r="M541" s="306">
        <f t="shared" ca="1" si="248"/>
        <v>0.6549879716366096</v>
      </c>
      <c r="N541" s="304">
        <f t="shared" ca="1" si="249"/>
        <v>37.528046406612205</v>
      </c>
      <c r="P541" s="310">
        <f t="shared" ca="1" si="250"/>
        <v>23</v>
      </c>
      <c r="Q541" s="304">
        <f t="shared" ca="1" si="251"/>
        <v>0</v>
      </c>
      <c r="R541" s="306">
        <f t="shared" ca="1" si="252"/>
        <v>0</v>
      </c>
      <c r="S541" s="307">
        <f t="shared" ca="1" si="253"/>
        <v>6.1519999999999921</v>
      </c>
      <c r="T541" s="304">
        <f t="shared" ca="1" si="233"/>
        <v>60.351119999999923</v>
      </c>
      <c r="U541" s="311">
        <f t="shared" ca="1" si="234"/>
        <v>0</v>
      </c>
      <c r="V541" s="306">
        <f t="shared" ca="1" si="235"/>
        <v>1.0103585121283334</v>
      </c>
      <c r="W541" s="304">
        <f t="shared" ca="1" si="236"/>
        <v>0.77538278485130618</v>
      </c>
      <c r="Y541" s="314" t="str">
        <f t="shared" ca="1" si="254"/>
        <v/>
      </c>
      <c r="Z541" s="315" t="str">
        <f t="shared" ca="1" si="255"/>
        <v/>
      </c>
      <c r="AA541" s="316" t="str">
        <f t="shared" ca="1" si="256"/>
        <v/>
      </c>
      <c r="AC541" s="310" t="e">
        <f t="shared" ca="1" si="257"/>
        <v>#N/A</v>
      </c>
      <c r="AD541" s="323" t="e">
        <f t="shared" ca="1" si="258"/>
        <v>#N/A</v>
      </c>
      <c r="AE541" s="324">
        <f t="shared" ca="1" si="237"/>
        <v>1920.421146828048</v>
      </c>
      <c r="AG541" s="306">
        <f t="shared" ca="1" si="259"/>
        <v>-6.4284329253357306</v>
      </c>
      <c r="AH541" s="304">
        <f t="shared" ca="1" si="260"/>
        <v>-0.1349243191617007</v>
      </c>
    </row>
    <row r="542" spans="1:34" x14ac:dyDescent="0.2">
      <c r="A542" s="347">
        <f t="shared" ca="1" si="238"/>
        <v>0.1</v>
      </c>
      <c r="B542" s="304">
        <f t="shared" ca="1" si="239"/>
        <v>17.79999999999994</v>
      </c>
      <c r="D542" s="306">
        <f t="shared" ca="1" si="240"/>
        <v>-9.9954712669628049E-2</v>
      </c>
      <c r="E542" s="307">
        <f t="shared" ca="1" si="241"/>
        <v>-9.8867757142468928</v>
      </c>
      <c r="F542" s="304">
        <f t="shared" ca="1" si="242"/>
        <v>9.8872809694276924</v>
      </c>
      <c r="G542" s="306">
        <f t="shared" ca="1" si="243"/>
        <v>14.368848306272378</v>
      </c>
      <c r="H542" s="307">
        <f t="shared" ca="1" si="244"/>
        <v>10.055784181107645</v>
      </c>
      <c r="I542" s="304">
        <f t="shared" ca="1" si="245"/>
        <v>17.538032875601566</v>
      </c>
      <c r="J542" s="306">
        <f t="shared" ca="1" si="246"/>
        <v>307.59746454727804</v>
      </c>
      <c r="K542" s="307">
        <f t="shared" ca="1" si="247"/>
        <v>1921.47615912473</v>
      </c>
      <c r="L542" s="304">
        <f t="shared" ca="1" si="232"/>
        <v>1945.9411168585341</v>
      </c>
      <c r="M542" s="306">
        <f t="shared" ca="1" si="248"/>
        <v>0.61061340624084814</v>
      </c>
      <c r="N542" s="304">
        <f t="shared" ca="1" si="249"/>
        <v>34.985571091707804</v>
      </c>
      <c r="P542" s="310">
        <f t="shared" ca="1" si="250"/>
        <v>23</v>
      </c>
      <c r="Q542" s="304">
        <f t="shared" ca="1" si="251"/>
        <v>0</v>
      </c>
      <c r="R542" s="306">
        <f t="shared" ca="1" si="252"/>
        <v>0</v>
      </c>
      <c r="S542" s="307">
        <f t="shared" ca="1" si="253"/>
        <v>6.1519999999999921</v>
      </c>
      <c r="T542" s="304">
        <f t="shared" ca="1" si="233"/>
        <v>60.351119999999923</v>
      </c>
      <c r="U542" s="311">
        <f t="shared" ca="1" si="234"/>
        <v>0</v>
      </c>
      <c r="V542" s="306">
        <f t="shared" ca="1" si="235"/>
        <v>1.0102509312929613</v>
      </c>
      <c r="W542" s="304">
        <f t="shared" ca="1" si="236"/>
        <v>0.7254218510636925</v>
      </c>
      <c r="Y542" s="314" t="str">
        <f t="shared" ca="1" si="254"/>
        <v/>
      </c>
      <c r="Z542" s="315" t="str">
        <f t="shared" ca="1" si="255"/>
        <v/>
      </c>
      <c r="AA542" s="316" t="str">
        <f t="shared" ca="1" si="256"/>
        <v/>
      </c>
      <c r="AC542" s="310" t="e">
        <f t="shared" ca="1" si="257"/>
        <v>#N/A</v>
      </c>
      <c r="AD542" s="323" t="e">
        <f t="shared" ca="1" si="258"/>
        <v>#N/A</v>
      </c>
      <c r="AE542" s="324">
        <f t="shared" ca="1" si="237"/>
        <v>1921.47615912473</v>
      </c>
      <c r="AG542" s="306">
        <f t="shared" ca="1" si="259"/>
        <v>-6.1017961121581346</v>
      </c>
      <c r="AH542" s="304">
        <f t="shared" ca="1" si="260"/>
        <v>-0.12603751379247516</v>
      </c>
    </row>
    <row r="543" spans="1:34" x14ac:dyDescent="0.2">
      <c r="A543" s="347">
        <f t="shared" ca="1" si="238"/>
        <v>0.1</v>
      </c>
      <c r="B543" s="304">
        <f t="shared" ca="1" si="239"/>
        <v>17.899999999999942</v>
      </c>
      <c r="D543" s="306">
        <f t="shared" ca="1" si="240"/>
        <v>-9.6608510548843507E-2</v>
      </c>
      <c r="E543" s="307">
        <f t="shared" ca="1" si="241"/>
        <v>-9.8776097562887735</v>
      </c>
      <c r="F543" s="304">
        <f t="shared" ca="1" si="242"/>
        <v>9.8780821874411249</v>
      </c>
      <c r="G543" s="306">
        <f t="shared" ca="1" si="243"/>
        <v>14.359187455217494</v>
      </c>
      <c r="H543" s="307">
        <f t="shared" ca="1" si="244"/>
        <v>9.0680232054787684</v>
      </c>
      <c r="I543" s="304">
        <f t="shared" ca="1" si="245"/>
        <v>16.982794505886741</v>
      </c>
      <c r="J543" s="306">
        <f t="shared" ca="1" si="246"/>
        <v>309.03386633535251</v>
      </c>
      <c r="K543" s="307">
        <f t="shared" ca="1" si="247"/>
        <v>1922.4323494940593</v>
      </c>
      <c r="L543" s="304">
        <f t="shared" ca="1" si="232"/>
        <v>1947.1127519800762</v>
      </c>
      <c r="M543" s="306">
        <f t="shared" ca="1" si="248"/>
        <v>0.56326959835577173</v>
      </c>
      <c r="N543" s="304">
        <f t="shared" ca="1" si="249"/>
        <v>32.272970713814736</v>
      </c>
      <c r="P543" s="310">
        <f t="shared" ca="1" si="250"/>
        <v>23</v>
      </c>
      <c r="Q543" s="304">
        <f t="shared" ca="1" si="251"/>
        <v>0</v>
      </c>
      <c r="R543" s="306">
        <f t="shared" ca="1" si="252"/>
        <v>0</v>
      </c>
      <c r="S543" s="307">
        <f t="shared" ca="1" si="253"/>
        <v>6.1519999999999921</v>
      </c>
      <c r="T543" s="304">
        <f t="shared" ca="1" si="233"/>
        <v>60.351119999999923</v>
      </c>
      <c r="U543" s="311">
        <f t="shared" ca="1" si="234"/>
        <v>0</v>
      </c>
      <c r="V543" s="306">
        <f t="shared" ca="1" si="235"/>
        <v>1.0101534363900482</v>
      </c>
      <c r="W543" s="304">
        <f t="shared" ca="1" si="236"/>
        <v>0.68015088715177019</v>
      </c>
      <c r="Y543" s="314" t="str">
        <f t="shared" ca="1" si="254"/>
        <v/>
      </c>
      <c r="Z543" s="315" t="str">
        <f t="shared" ca="1" si="255"/>
        <v/>
      </c>
      <c r="AA543" s="316" t="str">
        <f t="shared" ca="1" si="256"/>
        <v/>
      </c>
      <c r="AC543" s="310" t="e">
        <f t="shared" ca="1" si="257"/>
        <v>#N/A</v>
      </c>
      <c r="AD543" s="323" t="e">
        <f t="shared" ca="1" si="258"/>
        <v>#N/A</v>
      </c>
      <c r="AE543" s="324">
        <f t="shared" ca="1" si="237"/>
        <v>1922.4323494940593</v>
      </c>
      <c r="AG543" s="306">
        <f t="shared" ca="1" si="259"/>
        <v>-5.742677396147819</v>
      </c>
      <c r="AH543" s="304">
        <f t="shared" ca="1" si="260"/>
        <v>-0.11791642572556785</v>
      </c>
    </row>
    <row r="544" spans="1:34" x14ac:dyDescent="0.2">
      <c r="A544" s="347">
        <f t="shared" ca="1" si="238"/>
        <v>0.1</v>
      </c>
      <c r="B544" s="304">
        <f t="shared" ca="1" si="239"/>
        <v>17.999999999999943</v>
      </c>
      <c r="D544" s="306">
        <f t="shared" ca="1" si="240"/>
        <v>-9.3478051804747178E-2</v>
      </c>
      <c r="E544" s="307">
        <f t="shared" ca="1" si="241"/>
        <v>-9.8690326678032463</v>
      </c>
      <c r="F544" s="304">
        <f t="shared" ca="1" si="242"/>
        <v>9.8694753631759404</v>
      </c>
      <c r="G544" s="306">
        <f t="shared" ca="1" si="243"/>
        <v>14.349839650037019</v>
      </c>
      <c r="H544" s="307">
        <f t="shared" ca="1" si="244"/>
        <v>8.0811199386984445</v>
      </c>
      <c r="I544" s="304">
        <f t="shared" ca="1" si="245"/>
        <v>16.468831089224398</v>
      </c>
      <c r="J544" s="306">
        <f t="shared" ca="1" si="246"/>
        <v>310.46931769061524</v>
      </c>
      <c r="K544" s="307">
        <f t="shared" ca="1" si="247"/>
        <v>1923.2898066512682</v>
      </c>
      <c r="L544" s="304">
        <f t="shared" ca="1" si="232"/>
        <v>1948.1875878867386</v>
      </c>
      <c r="M544" s="306">
        <f t="shared" ca="1" si="248"/>
        <v>0.51288350120959103</v>
      </c>
      <c r="N544" s="304">
        <f t="shared" ca="1" si="249"/>
        <v>29.38606000120242</v>
      </c>
      <c r="P544" s="310">
        <f t="shared" ca="1" si="250"/>
        <v>23</v>
      </c>
      <c r="Q544" s="304">
        <f t="shared" ca="1" si="251"/>
        <v>0</v>
      </c>
      <c r="R544" s="306">
        <f t="shared" ca="1" si="252"/>
        <v>0</v>
      </c>
      <c r="S544" s="307">
        <f t="shared" ca="1" si="253"/>
        <v>6.1519999999999921</v>
      </c>
      <c r="T544" s="304">
        <f t="shared" ca="1" si="233"/>
        <v>60.351119999999923</v>
      </c>
      <c r="U544" s="311">
        <f t="shared" ca="1" si="234"/>
        <v>0</v>
      </c>
      <c r="V544" s="306">
        <f t="shared" ca="1" si="235"/>
        <v>1.0100660157370167</v>
      </c>
      <c r="W544" s="304">
        <f t="shared" ca="1" si="236"/>
        <v>0.63955061938309865</v>
      </c>
      <c r="Y544" s="314" t="str">
        <f t="shared" ca="1" si="254"/>
        <v/>
      </c>
      <c r="Z544" s="315" t="str">
        <f t="shared" ca="1" si="255"/>
        <v/>
      </c>
      <c r="AA544" s="316" t="str">
        <f t="shared" ca="1" si="256"/>
        <v/>
      </c>
      <c r="AC544" s="310">
        <f t="shared" ca="1" si="257"/>
        <v>17.999999999999943</v>
      </c>
      <c r="AD544" s="323">
        <f t="shared" ca="1" si="258"/>
        <v>310.46931769061524</v>
      </c>
      <c r="AE544" s="324">
        <f t="shared" ca="1" si="237"/>
        <v>1923.2898066512682</v>
      </c>
      <c r="AG544" s="306">
        <f t="shared" ca="1" si="259"/>
        <v>-5.3486418907438757</v>
      </c>
      <c r="AH544" s="304">
        <f t="shared" ca="1" si="260"/>
        <v>-0.11055768646810323</v>
      </c>
    </row>
    <row r="545" spans="1:34" x14ac:dyDescent="0.2">
      <c r="A545" s="347">
        <f t="shared" ca="1" si="238"/>
        <v>0.1</v>
      </c>
      <c r="B545" s="304">
        <f t="shared" ca="1" si="239"/>
        <v>18.099999999999945</v>
      </c>
      <c r="D545" s="306">
        <f t="shared" ca="1" si="240"/>
        <v>-9.0582201171191687E-2</v>
      </c>
      <c r="E545" s="307">
        <f t="shared" ca="1" si="241"/>
        <v>-9.861011415446292</v>
      </c>
      <c r="F545" s="304">
        <f t="shared" ca="1" si="242"/>
        <v>9.8614274458990518</v>
      </c>
      <c r="G545" s="306">
        <f t="shared" ca="1" si="243"/>
        <v>14.3407814299199</v>
      </c>
      <c r="H545" s="307">
        <f t="shared" ca="1" si="244"/>
        <v>7.0950187971538154</v>
      </c>
      <c r="I545" s="304">
        <f t="shared" ca="1" si="245"/>
        <v>15.999915742050064</v>
      </c>
      <c r="J545" s="306">
        <f t="shared" ca="1" si="246"/>
        <v>311.90384874461307</v>
      </c>
      <c r="K545" s="307">
        <f t="shared" ca="1" si="247"/>
        <v>1924.0486135880608</v>
      </c>
      <c r="L545" s="304">
        <f t="shared" ca="1" si="232"/>
        <v>1949.1657390565433</v>
      </c>
      <c r="M545" s="306">
        <f t="shared" ca="1" si="248"/>
        <v>0.45943415605006455</v>
      </c>
      <c r="N545" s="304">
        <f t="shared" ca="1" si="249"/>
        <v>26.323638105823555</v>
      </c>
      <c r="P545" s="310">
        <f t="shared" ca="1" si="250"/>
        <v>23</v>
      </c>
      <c r="Q545" s="304">
        <f t="shared" ca="1" si="251"/>
        <v>0</v>
      </c>
      <c r="R545" s="306">
        <f t="shared" ca="1" si="252"/>
        <v>0</v>
      </c>
      <c r="S545" s="307">
        <f t="shared" ca="1" si="253"/>
        <v>6.1519999999999921</v>
      </c>
      <c r="T545" s="304">
        <f t="shared" ca="1" si="233"/>
        <v>60.351119999999923</v>
      </c>
      <c r="U545" s="311">
        <f t="shared" ca="1" si="234"/>
        <v>0</v>
      </c>
      <c r="V545" s="306">
        <f t="shared" ca="1" si="235"/>
        <v>1.0099886585104012</v>
      </c>
      <c r="W545" s="304">
        <f t="shared" ca="1" si="236"/>
        <v>0.60360315652182739</v>
      </c>
      <c r="Y545" s="314" t="str">
        <f t="shared" ca="1" si="254"/>
        <v/>
      </c>
      <c r="Z545" s="315" t="str">
        <f t="shared" ca="1" si="255"/>
        <v/>
      </c>
      <c r="AA545" s="316" t="str">
        <f t="shared" ca="1" si="256"/>
        <v/>
      </c>
      <c r="AC545" s="310" t="e">
        <f t="shared" ca="1" si="257"/>
        <v>#N/A</v>
      </c>
      <c r="AD545" s="323" t="e">
        <f t="shared" ca="1" si="258"/>
        <v>#N/A</v>
      </c>
      <c r="AE545" s="324">
        <f t="shared" ca="1" si="237"/>
        <v>1924.0486135880608</v>
      </c>
      <c r="AG545" s="306">
        <f t="shared" ca="1" si="259"/>
        <v>-4.9176444635491201</v>
      </c>
      <c r="AH545" s="304">
        <f t="shared" ca="1" si="260"/>
        <v>-0.10395816309868326</v>
      </c>
    </row>
    <row r="546" spans="1:34" x14ac:dyDescent="0.2">
      <c r="A546" s="347">
        <f t="shared" ca="1" si="238"/>
        <v>0.1</v>
      </c>
      <c r="B546" s="304">
        <f t="shared" ca="1" si="239"/>
        <v>18.199999999999946</v>
      </c>
      <c r="D546" s="306">
        <f t="shared" ca="1" si="240"/>
        <v>-8.7940776603365106E-2</v>
      </c>
      <c r="E546" s="307">
        <f t="shared" ca="1" si="241"/>
        <v>-9.8535081913831721</v>
      </c>
      <c r="F546" s="304">
        <f t="shared" ca="1" si="242"/>
        <v>9.8539006113236649</v>
      </c>
      <c r="G546" s="306">
        <f t="shared" ca="1" si="243"/>
        <v>14.331987352259564</v>
      </c>
      <c r="H546" s="307">
        <f t="shared" ca="1" si="244"/>
        <v>6.1096679780154979</v>
      </c>
      <c r="I546" s="304">
        <f t="shared" ca="1" si="245"/>
        <v>15.579919905664344</v>
      </c>
      <c r="J546" s="306">
        <f t="shared" ca="1" si="246"/>
        <v>313.33748718372203</v>
      </c>
      <c r="K546" s="307">
        <f t="shared" ca="1" si="247"/>
        <v>1924.7088479268193</v>
      </c>
      <c r="L546" s="304">
        <f t="shared" ca="1" si="232"/>
        <v>1950.0473148522303</v>
      </c>
      <c r="M546" s="306">
        <f t="shared" ca="1" si="248"/>
        <v>0.40296780550283046</v>
      </c>
      <c r="N546" s="304">
        <f t="shared" ca="1" si="249"/>
        <v>23.088354534960814</v>
      </c>
      <c r="P546" s="310">
        <f t="shared" ca="1" si="250"/>
        <v>23</v>
      </c>
      <c r="Q546" s="304">
        <f t="shared" ca="1" si="251"/>
        <v>0</v>
      </c>
      <c r="R546" s="306">
        <f t="shared" ca="1" si="252"/>
        <v>0</v>
      </c>
      <c r="S546" s="307">
        <f t="shared" ca="1" si="253"/>
        <v>6.1519999999999921</v>
      </c>
      <c r="T546" s="304">
        <f t="shared" ca="1" si="233"/>
        <v>60.351119999999923</v>
      </c>
      <c r="U546" s="311">
        <f t="shared" ca="1" si="234"/>
        <v>0</v>
      </c>
      <c r="V546" s="306">
        <f t="shared" ca="1" si="235"/>
        <v>1.0099213547085892</v>
      </c>
      <c r="W546" s="304">
        <f t="shared" ca="1" si="236"/>
        <v>0.57229191547599545</v>
      </c>
      <c r="Y546" s="314" t="str">
        <f t="shared" ca="1" si="254"/>
        <v/>
      </c>
      <c r="Z546" s="315" t="str">
        <f t="shared" ca="1" si="255"/>
        <v/>
      </c>
      <c r="AA546" s="316" t="str">
        <f t="shared" ca="1" si="256"/>
        <v/>
      </c>
      <c r="AC546" s="310" t="e">
        <f t="shared" ca="1" si="257"/>
        <v>#N/A</v>
      </c>
      <c r="AD546" s="323" t="e">
        <f t="shared" ca="1" si="258"/>
        <v>#N/A</v>
      </c>
      <c r="AE546" s="324">
        <f t="shared" ca="1" si="237"/>
        <v>1924.7088479268193</v>
      </c>
      <c r="AG546" s="306">
        <f t="shared" ca="1" si="259"/>
        <v>-4.448271255877235</v>
      </c>
      <c r="AH546" s="304">
        <f t="shared" ca="1" si="260"/>
        <v>-9.8114947419022783E-2</v>
      </c>
    </row>
    <row r="547" spans="1:34" x14ac:dyDescent="0.2">
      <c r="A547" s="347">
        <f t="shared" ca="1" si="238"/>
        <v>0.1</v>
      </c>
      <c r="B547" s="304">
        <f t="shared" ca="1" si="239"/>
        <v>18.299999999999947</v>
      </c>
      <c r="D547" s="306">
        <f t="shared" ca="1" si="240"/>
        <v>-8.5574127455635488E-2</v>
      </c>
      <c r="E547" s="307">
        <f t="shared" ca="1" si="241"/>
        <v>-9.8464799028503105</v>
      </c>
      <c r="F547" s="304">
        <f t="shared" ca="1" si="242"/>
        <v>9.846851751119484</v>
      </c>
      <c r="G547" s="306">
        <f t="shared" ca="1" si="243"/>
        <v>14.323429939514</v>
      </c>
      <c r="H547" s="307">
        <f t="shared" ca="1" si="244"/>
        <v>5.1250199877304663</v>
      </c>
      <c r="I547" s="304">
        <f t="shared" ca="1" si="245"/>
        <v>15.212707684919302</v>
      </c>
      <c r="J547" s="306">
        <f t="shared" ca="1" si="246"/>
        <v>314.77025804831072</v>
      </c>
      <c r="K547" s="307">
        <f t="shared" ca="1" si="247"/>
        <v>1925.2705823251067</v>
      </c>
      <c r="L547" s="304">
        <f t="shared" ca="1" si="232"/>
        <v>1950.8324198962493</v>
      </c>
      <c r="M547" s="306">
        <f t="shared" ca="1" si="248"/>
        <v>0.34361261289098832</v>
      </c>
      <c r="N547" s="304">
        <f t="shared" ca="1" si="249"/>
        <v>19.687552506116177</v>
      </c>
      <c r="P547" s="310">
        <f t="shared" ca="1" si="250"/>
        <v>23</v>
      </c>
      <c r="Q547" s="304">
        <f t="shared" ca="1" si="251"/>
        <v>0</v>
      </c>
      <c r="R547" s="306">
        <f t="shared" ca="1" si="252"/>
        <v>0</v>
      </c>
      <c r="S547" s="307">
        <f t="shared" ca="1" si="253"/>
        <v>6.1519999999999921</v>
      </c>
      <c r="T547" s="304">
        <f t="shared" ca="1" si="233"/>
        <v>60.351119999999923</v>
      </c>
      <c r="U547" s="311">
        <f t="shared" ca="1" si="234"/>
        <v>0</v>
      </c>
      <c r="V547" s="306">
        <f t="shared" ca="1" si="235"/>
        <v>1.0098640951095486</v>
      </c>
      <c r="W547" s="304">
        <f t="shared" ca="1" si="236"/>
        <v>0.54560153831827141</v>
      </c>
      <c r="Y547" s="314" t="str">
        <f t="shared" ca="1" si="254"/>
        <v/>
      </c>
      <c r="Z547" s="315" t="str">
        <f t="shared" ca="1" si="255"/>
        <v/>
      </c>
      <c r="AA547" s="316" t="str">
        <f t="shared" ca="1" si="256"/>
        <v/>
      </c>
      <c r="AC547" s="310" t="e">
        <f t="shared" ca="1" si="257"/>
        <v>#N/A</v>
      </c>
      <c r="AD547" s="323" t="e">
        <f t="shared" ca="1" si="258"/>
        <v>#N/A</v>
      </c>
      <c r="AE547" s="324">
        <f t="shared" ca="1" si="237"/>
        <v>1925.2705823251067</v>
      </c>
      <c r="AG547" s="306">
        <f t="shared" ca="1" si="259"/>
        <v>-3.9400183468642154</v>
      </c>
      <c r="AH547" s="304">
        <f t="shared" ca="1" si="260"/>
        <v>-9.3025343868009785E-2</v>
      </c>
    </row>
    <row r="548" spans="1:34" x14ac:dyDescent="0.2">
      <c r="A548" s="347">
        <f t="shared" ca="1" si="238"/>
        <v>0.1</v>
      </c>
      <c r="B548" s="304">
        <f t="shared" ca="1" si="239"/>
        <v>18.399999999999949</v>
      </c>
      <c r="D548" s="306">
        <f t="shared" ca="1" si="240"/>
        <v>-8.350255557801177E-2</v>
      </c>
      <c r="E548" s="307">
        <f t="shared" ca="1" si="241"/>
        <v>-9.8398777784490914</v>
      </c>
      <c r="F548" s="304">
        <f t="shared" ca="1" si="242"/>
        <v>9.8402320791536351</v>
      </c>
      <c r="G548" s="306">
        <f t="shared" ca="1" si="243"/>
        <v>14.315079683956199</v>
      </c>
      <c r="H548" s="307">
        <f t="shared" ca="1" si="244"/>
        <v>4.141032209885557</v>
      </c>
      <c r="I548" s="304">
        <f t="shared" ca="1" si="245"/>
        <v>14.902001681697836</v>
      </c>
      <c r="J548" s="306">
        <f t="shared" ca="1" si="246"/>
        <v>316.20218352948422</v>
      </c>
      <c r="K548" s="307">
        <f t="shared" ca="1" si="247"/>
        <v>1925.7338849349876</v>
      </c>
      <c r="L548" s="304">
        <f t="shared" ca="1" si="232"/>
        <v>1951.5211544986166</v>
      </c>
      <c r="M548" s="306">
        <f t="shared" ca="1" si="248"/>
        <v>0.28159095440544407</v>
      </c>
      <c r="N548" s="304">
        <f t="shared" ca="1" si="249"/>
        <v>16.133973236492739</v>
      </c>
      <c r="P548" s="310">
        <f t="shared" ca="1" si="250"/>
        <v>23</v>
      </c>
      <c r="Q548" s="304">
        <f t="shared" ca="1" si="251"/>
        <v>0</v>
      </c>
      <c r="R548" s="306">
        <f t="shared" ca="1" si="252"/>
        <v>0</v>
      </c>
      <c r="S548" s="307">
        <f t="shared" ca="1" si="253"/>
        <v>6.1519999999999921</v>
      </c>
      <c r="T548" s="304">
        <f t="shared" ca="1" si="233"/>
        <v>60.351119999999923</v>
      </c>
      <c r="U548" s="311">
        <f t="shared" ca="1" si="234"/>
        <v>0</v>
      </c>
      <c r="V548" s="306">
        <f t="shared" ca="1" si="235"/>
        <v>1.0098168712230675</v>
      </c>
      <c r="W548" s="304">
        <f t="shared" ca="1" si="236"/>
        <v>0.52351779983573332</v>
      </c>
      <c r="Y548" s="314" t="str">
        <f t="shared" ca="1" si="254"/>
        <v/>
      </c>
      <c r="Z548" s="315" t="str">
        <f t="shared" ca="1" si="255"/>
        <v/>
      </c>
      <c r="AA548" s="316" t="str">
        <f t="shared" ca="1" si="256"/>
        <v/>
      </c>
      <c r="AC548" s="310" t="e">
        <f t="shared" ca="1" si="257"/>
        <v>#N/A</v>
      </c>
      <c r="AD548" s="323" t="e">
        <f t="shared" ca="1" si="258"/>
        <v>#N/A</v>
      </c>
      <c r="AE548" s="324">
        <f t="shared" ca="1" si="237"/>
        <v>1925.7338849349876</v>
      </c>
      <c r="AG548" s="306">
        <f t="shared" ca="1" si="259"/>
        <v>-3.3935847822242784</v>
      </c>
      <c r="AH548" s="304">
        <f t="shared" ca="1" si="260"/>
        <v>-8.8686856033529271E-2</v>
      </c>
    </row>
    <row r="549" spans="1:34" x14ac:dyDescent="0.2">
      <c r="A549" s="347">
        <f t="shared" ca="1" si="238"/>
        <v>0.1</v>
      </c>
      <c r="B549" s="304">
        <f t="shared" ca="1" si="239"/>
        <v>18.49999999999995</v>
      </c>
      <c r="D549" s="306">
        <f t="shared" ca="1" si="240"/>
        <v>-8.1745581480127366E-2</v>
      </c>
      <c r="E549" s="307">
        <f t="shared" ca="1" si="241"/>
        <v>-9.8336471674205512</v>
      </c>
      <c r="F549" s="304">
        <f t="shared" ca="1" si="242"/>
        <v>9.8339869307117631</v>
      </c>
      <c r="G549" s="306">
        <f t="shared" ca="1" si="243"/>
        <v>14.306905125808186</v>
      </c>
      <c r="H549" s="307">
        <f t="shared" ca="1" si="244"/>
        <v>3.157667493143502</v>
      </c>
      <c r="I549" s="304">
        <f t="shared" ca="1" si="245"/>
        <v>14.65122514590953</v>
      </c>
      <c r="J549" s="306">
        <f t="shared" ca="1" si="246"/>
        <v>317.63328276997242</v>
      </c>
      <c r="K549" s="307">
        <f t="shared" ca="1" si="247"/>
        <v>1926.098819920139</v>
      </c>
      <c r="L549" s="304">
        <f t="shared" ca="1" si="232"/>
        <v>1952.1136151415421</v>
      </c>
      <c r="M549" s="306">
        <f t="shared" ca="1" si="248"/>
        <v>0.21722679077406401</v>
      </c>
      <c r="N549" s="304">
        <f t="shared" ca="1" si="249"/>
        <v>12.446178308525237</v>
      </c>
      <c r="P549" s="310">
        <f t="shared" ca="1" si="250"/>
        <v>23</v>
      </c>
      <c r="Q549" s="304">
        <f t="shared" ca="1" si="251"/>
        <v>0</v>
      </c>
      <c r="R549" s="306">
        <f t="shared" ca="1" si="252"/>
        <v>0</v>
      </c>
      <c r="S549" s="307">
        <f t="shared" ca="1" si="253"/>
        <v>6.1519999999999921</v>
      </c>
      <c r="T549" s="304">
        <f t="shared" ca="1" si="233"/>
        <v>60.351119999999923</v>
      </c>
      <c r="U549" s="311">
        <f t="shared" ca="1" si="234"/>
        <v>0</v>
      </c>
      <c r="V549" s="306">
        <f t="shared" ca="1" si="235"/>
        <v>1.0097796752372055</v>
      </c>
      <c r="W549" s="304">
        <f t="shared" ca="1" si="236"/>
        <v>0.50602750506513172</v>
      </c>
      <c r="Y549" s="314" t="str">
        <f t="shared" ca="1" si="254"/>
        <v/>
      </c>
      <c r="Z549" s="315" t="str">
        <f t="shared" ca="1" si="255"/>
        <v/>
      </c>
      <c r="AA549" s="316" t="str">
        <f t="shared" ca="1" si="256"/>
        <v/>
      </c>
      <c r="AC549" s="310" t="e">
        <f t="shared" ca="1" si="257"/>
        <v>#N/A</v>
      </c>
      <c r="AD549" s="323" t="e">
        <f t="shared" ca="1" si="258"/>
        <v>#N/A</v>
      </c>
      <c r="AE549" s="324">
        <f t="shared" ca="1" si="237"/>
        <v>1926.098819920139</v>
      </c>
      <c r="AG549" s="306">
        <f t="shared" ca="1" si="259"/>
        <v>-2.8111420914069356</v>
      </c>
      <c r="AH549" s="304">
        <f t="shared" ca="1" si="260"/>
        <v>-8.5097171624794216E-2</v>
      </c>
    </row>
    <row r="550" spans="1:34" x14ac:dyDescent="0.2">
      <c r="A550" s="347">
        <f t="shared" ca="1" si="238"/>
        <v>0.1</v>
      </c>
      <c r="B550" s="304">
        <f t="shared" ca="1" si="239"/>
        <v>18.599999999999952</v>
      </c>
      <c r="D550" s="306">
        <f t="shared" ca="1" si="240"/>
        <v>-8.0321082277158007E-2</v>
      </c>
      <c r="E550" s="307">
        <f t="shared" ca="1" si="241"/>
        <v>-9.8277276125262887</v>
      </c>
      <c r="F550" s="304">
        <f t="shared" ca="1" si="242"/>
        <v>9.8280558353252072</v>
      </c>
      <c r="G550" s="306">
        <f t="shared" ca="1" si="243"/>
        <v>14.298873017580469</v>
      </c>
      <c r="H550" s="307">
        <f t="shared" ca="1" si="244"/>
        <v>2.1748947318908733</v>
      </c>
      <c r="I550" s="304">
        <f t="shared" ca="1" si="245"/>
        <v>14.463330759811083</v>
      </c>
      <c r="J550" s="306">
        <f t="shared" ca="1" si="246"/>
        <v>319.06357167714185</v>
      </c>
      <c r="K550" s="307">
        <f t="shared" ca="1" si="247"/>
        <v>1926.3654480313908</v>
      </c>
      <c r="L550" s="304">
        <f t="shared" ca="1" si="232"/>
        <v>1952.609895022699</v>
      </c>
      <c r="M550" s="306">
        <f t="shared" ca="1" si="248"/>
        <v>0.15094557266855746</v>
      </c>
      <c r="N550" s="304">
        <f t="shared" ca="1" si="249"/>
        <v>8.6485442500936127</v>
      </c>
      <c r="P550" s="310">
        <f t="shared" ca="1" si="250"/>
        <v>23</v>
      </c>
      <c r="Q550" s="304">
        <f t="shared" ca="1" si="251"/>
        <v>0</v>
      </c>
      <c r="R550" s="306">
        <f t="shared" ca="1" si="252"/>
        <v>0</v>
      </c>
      <c r="S550" s="307">
        <f t="shared" ca="1" si="253"/>
        <v>6.1519999999999921</v>
      </c>
      <c r="T550" s="304">
        <f t="shared" ca="1" si="233"/>
        <v>60.351119999999923</v>
      </c>
      <c r="U550" s="311">
        <f t="shared" ca="1" si="234"/>
        <v>0</v>
      </c>
      <c r="V550" s="306">
        <f t="shared" ca="1" si="235"/>
        <v>1.0097524999588727</v>
      </c>
      <c r="W550" s="304">
        <f t="shared" ca="1" si="236"/>
        <v>0.4931183767177959</v>
      </c>
      <c r="Y550" s="314" t="str">
        <f t="shared" ca="1" si="254"/>
        <v/>
      </c>
      <c r="Z550" s="315" t="str">
        <f t="shared" ca="1" si="255"/>
        <v/>
      </c>
      <c r="AA550" s="316" t="str">
        <f t="shared" ca="1" si="256"/>
        <v/>
      </c>
      <c r="AC550" s="310" t="e">
        <f t="shared" ca="1" si="257"/>
        <v>#N/A</v>
      </c>
      <c r="AD550" s="323" t="e">
        <f t="shared" ca="1" si="258"/>
        <v>#N/A</v>
      </c>
      <c r="AE550" s="324">
        <f t="shared" ca="1" si="237"/>
        <v>1926.3654480313908</v>
      </c>
      <c r="AG550" s="306">
        <f t="shared" ca="1" si="259"/>
        <v>-2.1965290818201257</v>
      </c>
      <c r="AH550" s="304">
        <f t="shared" ca="1" si="260"/>
        <v>-8.2254145816829063E-2</v>
      </c>
    </row>
    <row r="551" spans="1:34" x14ac:dyDescent="0.2">
      <c r="A551" s="347">
        <f t="shared" ca="1" si="238"/>
        <v>0.1</v>
      </c>
      <c r="B551" s="304">
        <f t="shared" ca="1" si="239"/>
        <v>18.699999999999953</v>
      </c>
      <c r="D551" s="306">
        <f t="shared" ca="1" si="240"/>
        <v>-7.9244358099959694E-2</v>
      </c>
      <c r="E551" s="307">
        <f t="shared" ca="1" si="241"/>
        <v>-9.8220532671876857</v>
      </c>
      <c r="F551" s="304">
        <f t="shared" ca="1" si="242"/>
        <v>9.8223729338568173</v>
      </c>
      <c r="G551" s="306">
        <f t="shared" ca="1" si="243"/>
        <v>14.290948581770474</v>
      </c>
      <c r="H551" s="307">
        <f t="shared" ca="1" si="244"/>
        <v>1.1926894051721049</v>
      </c>
      <c r="I551" s="304">
        <f t="shared" ca="1" si="245"/>
        <v>14.340631763768894</v>
      </c>
      <c r="J551" s="306">
        <f t="shared" ca="1" si="246"/>
        <v>320.49306275710939</v>
      </c>
      <c r="K551" s="307">
        <f t="shared" ca="1" si="247"/>
        <v>1926.5338272382439</v>
      </c>
      <c r="L551" s="304">
        <f t="shared" ca="1" si="232"/>
        <v>1953.0100846561618</v>
      </c>
      <c r="M551" s="306">
        <f t="shared" ca="1" si="248"/>
        <v>8.3264719132468426E-2</v>
      </c>
      <c r="N551" s="304">
        <f t="shared" ca="1" si="249"/>
        <v>4.7707169886326382</v>
      </c>
      <c r="P551" s="310">
        <f t="shared" ca="1" si="250"/>
        <v>23</v>
      </c>
      <c r="Q551" s="304">
        <f t="shared" ca="1" si="251"/>
        <v>0</v>
      </c>
      <c r="R551" s="306">
        <f t="shared" ca="1" si="252"/>
        <v>0</v>
      </c>
      <c r="S551" s="307">
        <f t="shared" ca="1" si="253"/>
        <v>6.1519999999999921</v>
      </c>
      <c r="T551" s="304">
        <f t="shared" ca="1" si="233"/>
        <v>60.351119999999923</v>
      </c>
      <c r="U551" s="311">
        <f t="shared" ca="1" si="234"/>
        <v>0</v>
      </c>
      <c r="V551" s="306">
        <f t="shared" ca="1" si="235"/>
        <v>1.0097353387487873</v>
      </c>
      <c r="W551" s="304">
        <f t="shared" ca="1" si="236"/>
        <v>0.48477893298530977</v>
      </c>
      <c r="Y551" s="314" t="str">
        <f t="shared" ca="1" si="254"/>
        <v/>
      </c>
      <c r="Z551" s="315" t="str">
        <f t="shared" ca="1" si="255"/>
        <v/>
      </c>
      <c r="AA551" s="316" t="str">
        <f t="shared" ca="1" si="256"/>
        <v/>
      </c>
      <c r="AC551" s="310" t="e">
        <f t="shared" ca="1" si="257"/>
        <v>#N/A</v>
      </c>
      <c r="AD551" s="323" t="e">
        <f t="shared" ca="1" si="258"/>
        <v>#N/A</v>
      </c>
      <c r="AE551" s="324">
        <f t="shared" ca="1" si="237"/>
        <v>1926.5338272382439</v>
      </c>
      <c r="AG551" s="306">
        <f t="shared" ca="1" si="259"/>
        <v>-1.5553151134104923</v>
      </c>
      <c r="AH551" s="304">
        <f t="shared" ca="1" si="260"/>
        <v>-8.0155782951527393E-2</v>
      </c>
    </row>
    <row r="552" spans="1:34" x14ac:dyDescent="0.2">
      <c r="A552" s="347">
        <f t="shared" ca="1" si="238"/>
        <v>0.1</v>
      </c>
      <c r="B552" s="304">
        <f t="shared" ca="1" si="239"/>
        <v>18.799999999999955</v>
      </c>
      <c r="D552" s="306">
        <f t="shared" ca="1" si="240"/>
        <v>-7.8527212976877023E-2</v>
      </c>
      <c r="E552" s="307">
        <f t="shared" ca="1" si="241"/>
        <v>-9.8165536989654196</v>
      </c>
      <c r="F552" s="304">
        <f t="shared" ca="1" si="242"/>
        <v>9.8168677819276748</v>
      </c>
      <c r="G552" s="306">
        <f t="shared" ca="1" si="243"/>
        <v>14.283095860472786</v>
      </c>
      <c r="H552" s="307">
        <f t="shared" ca="1" si="244"/>
        <v>0.21103403527556286</v>
      </c>
      <c r="I552" s="304">
        <f t="shared" ca="1" si="245"/>
        <v>14.284654798891694</v>
      </c>
      <c r="J552" s="306">
        <f t="shared" ca="1" si="246"/>
        <v>321.92176497922156</v>
      </c>
      <c r="K552" s="307">
        <f t="shared" ca="1" si="247"/>
        <v>1926.6040134102664</v>
      </c>
      <c r="L552" s="304">
        <f t="shared" ca="1" si="232"/>
        <v>1953.3142725265393</v>
      </c>
      <c r="M552" s="306">
        <f t="shared" ca="1" si="248"/>
        <v>1.4774015582648833E-2</v>
      </c>
      <c r="N552" s="304">
        <f t="shared" ca="1" si="249"/>
        <v>0.84648873934628999</v>
      </c>
      <c r="P552" s="310">
        <f t="shared" ca="1" si="250"/>
        <v>23</v>
      </c>
      <c r="Q552" s="304">
        <f t="shared" ca="1" si="251"/>
        <v>0</v>
      </c>
      <c r="R552" s="306">
        <f t="shared" ca="1" si="252"/>
        <v>0</v>
      </c>
      <c r="S552" s="307">
        <f t="shared" ca="1" si="253"/>
        <v>6.1519999999999921</v>
      </c>
      <c r="T552" s="304">
        <f t="shared" ca="1" si="233"/>
        <v>60.351119999999923</v>
      </c>
      <c r="U552" s="311">
        <f t="shared" ca="1" si="234"/>
        <v>0</v>
      </c>
      <c r="V552" s="306">
        <f t="shared" ca="1" si="235"/>
        <v>1.0097281854514135</v>
      </c>
      <c r="W552" s="304">
        <f t="shared" ca="1" si="236"/>
        <v>0.48099835690382292</v>
      </c>
      <c r="Y552" s="314" t="str">
        <f t="shared" ca="1" si="254"/>
        <v>Apogée</v>
      </c>
      <c r="Z552" s="315" t="str">
        <f t="shared" ca="1" si="255"/>
        <v/>
      </c>
      <c r="AA552" s="316" t="str">
        <f t="shared" ca="1" si="256"/>
        <v/>
      </c>
      <c r="AC552" s="310" t="e">
        <f t="shared" ca="1" si="257"/>
        <v>#N/A</v>
      </c>
      <c r="AD552" s="323" t="e">
        <f t="shared" ca="1" si="258"/>
        <v>#N/A</v>
      </c>
      <c r="AE552" s="324">
        <f t="shared" ca="1" si="237"/>
        <v>1926.6040134102664</v>
      </c>
      <c r="AG552" s="306">
        <f t="shared" ca="1" si="259"/>
        <v>-0.8946835931870698</v>
      </c>
      <c r="AH552" s="304">
        <f t="shared" ca="1" si="260"/>
        <v>-7.880021667511547E-2</v>
      </c>
    </row>
    <row r="553" spans="1:34" x14ac:dyDescent="0.2">
      <c r="A553" s="347">
        <f t="shared" ca="1" si="238"/>
        <v>0.1</v>
      </c>
      <c r="B553" s="304">
        <f t="shared" ca="1" si="239"/>
        <v>18.899999999999956</v>
      </c>
      <c r="D553" s="306">
        <f t="shared" ca="1" si="240"/>
        <v>-7.8177156003487541E-2</v>
      </c>
      <c r="E553" s="307">
        <f t="shared" ca="1" si="241"/>
        <v>-9.8111550745621923</v>
      </c>
      <c r="F553" s="304">
        <f t="shared" ca="1" si="242"/>
        <v>9.8114665348676713</v>
      </c>
      <c r="G553" s="306">
        <f t="shared" ca="1" si="243"/>
        <v>14.275278144872438</v>
      </c>
      <c r="H553" s="307">
        <f t="shared" ca="1" si="244"/>
        <v>-0.77008147218065637</v>
      </c>
      <c r="I553" s="304">
        <f t="shared" ca="1" si="245"/>
        <v>14.296034120946571</v>
      </c>
      <c r="J553" s="306">
        <f t="shared" ca="1" si="246"/>
        <v>323.34968367948881</v>
      </c>
      <c r="K553" s="307">
        <f t="shared" ca="1" si="247"/>
        <v>1926.5760610384211</v>
      </c>
      <c r="L553" s="304">
        <f t="shared" ca="1" si="232"/>
        <v>1953.5225457879783</v>
      </c>
      <c r="M553" s="306">
        <f t="shared" ca="1" si="248"/>
        <v>-5.3892874637169692E-2</v>
      </c>
      <c r="N553" s="304">
        <f t="shared" ca="1" si="249"/>
        <v>-3.0878342625374611</v>
      </c>
      <c r="P553" s="310">
        <f t="shared" ca="1" si="250"/>
        <v>23</v>
      </c>
      <c r="Q553" s="304">
        <f t="shared" ca="1" si="251"/>
        <v>0</v>
      </c>
      <c r="R553" s="306">
        <f t="shared" ca="1" si="252"/>
        <v>0</v>
      </c>
      <c r="S553" s="307">
        <f t="shared" ca="1" si="253"/>
        <v>6.1519999999999921</v>
      </c>
      <c r="T553" s="304">
        <f t="shared" ca="1" si="233"/>
        <v>60.351119999999923</v>
      </c>
      <c r="U553" s="311">
        <f t="shared" ca="1" si="234"/>
        <v>0</v>
      </c>
      <c r="V553" s="306">
        <f t="shared" ca="1" si="235"/>
        <v>1.0097310343208876</v>
      </c>
      <c r="W553" s="304">
        <f t="shared" ca="1" si="236"/>
        <v>0.48176635916733707</v>
      </c>
      <c r="Y553" s="314" t="str">
        <f t="shared" ca="1" si="254"/>
        <v/>
      </c>
      <c r="Z553" s="315" t="str">
        <f t="shared" ca="1" si="255"/>
        <v/>
      </c>
      <c r="AA553" s="316" t="str">
        <f t="shared" ca="1" si="256"/>
        <v/>
      </c>
      <c r="AC553" s="310" t="e">
        <f t="shared" ca="1" si="257"/>
        <v>#N/A</v>
      </c>
      <c r="AD553" s="323" t="e">
        <f t="shared" ca="1" si="258"/>
        <v>#N/A</v>
      </c>
      <c r="AE553" s="324">
        <f t="shared" ca="1" si="237"/>
        <v>1926.5760610384211</v>
      </c>
      <c r="AG553" s="306">
        <f t="shared" ca="1" si="259"/>
        <v>-0.22311350916533185</v>
      </c>
      <c r="AH553" s="304">
        <f t="shared" ca="1" si="260"/>
        <v>-7.8185688703482373E-2</v>
      </c>
    </row>
    <row r="554" spans="1:34" x14ac:dyDescent="0.2">
      <c r="A554" s="347">
        <f t="shared" ca="1" si="238"/>
        <v>0.1</v>
      </c>
      <c r="B554" s="304">
        <f t="shared" ca="1" si="239"/>
        <v>18.999999999999957</v>
      </c>
      <c r="D554" s="306">
        <f t="shared" ca="1" si="240"/>
        <v>-7.8196829856769276E-2</v>
      </c>
      <c r="E554" s="307">
        <f t="shared" ca="1" si="241"/>
        <v>-9.8057816632891601</v>
      </c>
      <c r="F554" s="304">
        <f t="shared" ca="1" si="242"/>
        <v>9.8060934511301472</v>
      </c>
      <c r="G554" s="306">
        <f t="shared" ca="1" si="243"/>
        <v>14.267458461886761</v>
      </c>
      <c r="H554" s="307">
        <f t="shared" ca="1" si="244"/>
        <v>-1.7506596385095725</v>
      </c>
      <c r="I554" s="304">
        <f t="shared" ca="1" si="245"/>
        <v>14.374462777146512</v>
      </c>
      <c r="J554" s="306">
        <f t="shared" ca="1" si="246"/>
        <v>324.77682050982679</v>
      </c>
      <c r="K554" s="307">
        <f t="shared" ca="1" si="247"/>
        <v>1926.4500239828867</v>
      </c>
      <c r="L554" s="304">
        <f t="shared" ca="1" si="232"/>
        <v>1953.6349909960502</v>
      </c>
      <c r="M554" s="306">
        <f t="shared" ca="1" si="248"/>
        <v>-0.12209267539939862</v>
      </c>
      <c r="N554" s="304">
        <f t="shared" ca="1" si="249"/>
        <v>-6.9953950098462734</v>
      </c>
      <c r="P554" s="310">
        <f t="shared" ca="1" si="250"/>
        <v>23</v>
      </c>
      <c r="Q554" s="304">
        <f t="shared" ca="1" si="251"/>
        <v>0</v>
      </c>
      <c r="R554" s="306">
        <f t="shared" ca="1" si="252"/>
        <v>0</v>
      </c>
      <c r="S554" s="307">
        <f t="shared" ca="1" si="253"/>
        <v>6.1519999999999921</v>
      </c>
      <c r="T554" s="304">
        <f t="shared" ca="1" si="233"/>
        <v>60.351119999999923</v>
      </c>
      <c r="U554" s="311">
        <f t="shared" ca="1" si="234"/>
        <v>0</v>
      </c>
      <c r="V554" s="306">
        <f t="shared" ca="1" si="235"/>
        <v>1.0097438799442864</v>
      </c>
      <c r="W554" s="304">
        <f t="shared" ca="1" si="236"/>
        <v>0.487073036917752</v>
      </c>
      <c r="Y554" s="314" t="str">
        <f t="shared" ca="1" si="254"/>
        <v/>
      </c>
      <c r="Z554" s="315" t="str">
        <f t="shared" ca="1" si="255"/>
        <v>Para</v>
      </c>
      <c r="AA554" s="316" t="str">
        <f t="shared" ca="1" si="256"/>
        <v/>
      </c>
      <c r="AC554" s="310">
        <f t="shared" ca="1" si="257"/>
        <v>18.999999999999957</v>
      </c>
      <c r="AD554" s="323">
        <f t="shared" ca="1" si="258"/>
        <v>324.77682050982679</v>
      </c>
      <c r="AE554" s="324" t="e">
        <f t="shared" ca="1" si="237"/>
        <v>#N/A</v>
      </c>
      <c r="AG554" s="306">
        <f t="shared" ca="1" si="259"/>
        <v>0.45012268636562847</v>
      </c>
      <c r="AH554" s="304">
        <f t="shared" ca="1" si="260"/>
        <v>-7.8310526522649165E-2</v>
      </c>
    </row>
    <row r="555" spans="1:34" x14ac:dyDescent="0.2">
      <c r="A555" s="347">
        <f t="shared" ca="1" si="238"/>
        <v>0.1</v>
      </c>
      <c r="B555" s="304">
        <f t="shared" ca="1" si="239"/>
        <v>19.099999999999959</v>
      </c>
      <c r="D555" s="306">
        <f t="shared" ca="1" si="240"/>
        <v>-7.8583751241404265E-2</v>
      </c>
      <c r="E555" s="307">
        <f t="shared" ca="1" si="241"/>
        <v>-9.800357539718199</v>
      </c>
      <c r="F555" s="304">
        <f t="shared" ca="1" si="242"/>
        <v>9.8006725948921751</v>
      </c>
      <c r="G555" s="306">
        <f t="shared" ca="1" si="243"/>
        <v>14.259600086762621</v>
      </c>
      <c r="H555" s="307">
        <f t="shared" ca="1" si="244"/>
        <v>-2.7306953924813926</v>
      </c>
      <c r="I555" s="304">
        <f t="shared" ca="1" si="245"/>
        <v>14.518708343407125</v>
      </c>
      <c r="J555" s="306">
        <f t="shared" ca="1" si="246"/>
        <v>326.20317343725924</v>
      </c>
      <c r="K555" s="307">
        <f t="shared" ca="1" si="247"/>
        <v>1926.2259562313372</v>
      </c>
      <c r="L555" s="304">
        <f t="shared" ca="1" si="232"/>
        <v>1953.6516948575731</v>
      </c>
      <c r="M555" s="306">
        <f t="shared" ca="1" si="248"/>
        <v>-0.18920806480227187</v>
      </c>
      <c r="N555" s="304">
        <f t="shared" ca="1" si="249"/>
        <v>-10.840823563007961</v>
      </c>
      <c r="P555" s="310">
        <f t="shared" ca="1" si="250"/>
        <v>23</v>
      </c>
      <c r="Q555" s="304">
        <f t="shared" ca="1" si="251"/>
        <v>0</v>
      </c>
      <c r="R555" s="306">
        <f t="shared" ca="1" si="252"/>
        <v>0</v>
      </c>
      <c r="S555" s="307">
        <f t="shared" ca="1" si="253"/>
        <v>6.1519999999999921</v>
      </c>
      <c r="T555" s="304">
        <f t="shared" ca="1" si="233"/>
        <v>60.351119999999923</v>
      </c>
      <c r="U555" s="311">
        <f t="shared" ca="1" si="234"/>
        <v>0</v>
      </c>
      <c r="V555" s="306">
        <f t="shared" ca="1" si="235"/>
        <v>1.0097667171638545</v>
      </c>
      <c r="W555" s="304">
        <f t="shared" ca="1" si="236"/>
        <v>0.49690873149509701</v>
      </c>
      <c r="Y555" s="314" t="str">
        <f t="shared" ca="1" si="254"/>
        <v/>
      </c>
      <c r="Z555" s="315" t="str">
        <f t="shared" ca="1" si="255"/>
        <v/>
      </c>
      <c r="AA555" s="316" t="str">
        <f t="shared" ca="1" si="256"/>
        <v/>
      </c>
      <c r="AC555" s="310" t="e">
        <f t="shared" ca="1" si="257"/>
        <v>#N/A</v>
      </c>
      <c r="AD555" s="323" t="e">
        <f t="shared" ca="1" si="258"/>
        <v>#N/A</v>
      </c>
      <c r="AE555" s="324" t="e">
        <f t="shared" ca="1" si="237"/>
        <v>#N/A</v>
      </c>
      <c r="AG555" s="306">
        <f t="shared" ca="1" si="259"/>
        <v>1.1155825598314948</v>
      </c>
      <c r="AH555" s="304">
        <f t="shared" ca="1" si="260"/>
        <v>-7.9173120435265379E-2</v>
      </c>
    </row>
    <row r="556" spans="1:34" x14ac:dyDescent="0.2">
      <c r="A556" s="347">
        <f t="shared" ca="1" si="238"/>
        <v>0.1</v>
      </c>
      <c r="B556" s="304">
        <f t="shared" ca="1" si="239"/>
        <v>19.19999999999996</v>
      </c>
      <c r="D556" s="306">
        <f t="shared" ca="1" si="240"/>
        <v>-7.9330404003735727E-2</v>
      </c>
      <c r="E556" s="307">
        <f t="shared" ca="1" si="241"/>
        <v>-9.7948083279069103</v>
      </c>
      <c r="F556" s="304">
        <f t="shared" ca="1" si="242"/>
        <v>9.7951295802267957</v>
      </c>
      <c r="G556" s="306">
        <f t="shared" ca="1" si="243"/>
        <v>14.251667046362247</v>
      </c>
      <c r="H556" s="307">
        <f t="shared" ca="1" si="244"/>
        <v>-3.7101762252720838</v>
      </c>
      <c r="I556" s="304">
        <f t="shared" ca="1" si="245"/>
        <v>14.726690776374094</v>
      </c>
      <c r="J556" s="306">
        <f t="shared" ca="1" si="246"/>
        <v>327.62873679391549</v>
      </c>
      <c r="K556" s="307">
        <f t="shared" ca="1" si="247"/>
        <v>1925.9039126504497</v>
      </c>
      <c r="L556" s="304">
        <f t="shared" ca="1" si="232"/>
        <v>1953.5727449817391</v>
      </c>
      <c r="M556" s="306">
        <f t="shared" ca="1" si="248"/>
        <v>-0.25467974990099312</v>
      </c>
      <c r="N556" s="304">
        <f t="shared" ca="1" si="249"/>
        <v>-14.592074796774252</v>
      </c>
      <c r="P556" s="310">
        <f t="shared" ca="1" si="250"/>
        <v>23</v>
      </c>
      <c r="Q556" s="304">
        <f t="shared" ca="1" si="251"/>
        <v>0</v>
      </c>
      <c r="R556" s="306">
        <f t="shared" ca="1" si="252"/>
        <v>0</v>
      </c>
      <c r="S556" s="307">
        <f t="shared" ca="1" si="253"/>
        <v>6.1519999999999921</v>
      </c>
      <c r="T556" s="304">
        <f t="shared" ca="1" si="233"/>
        <v>60.351119999999923</v>
      </c>
      <c r="U556" s="311">
        <f t="shared" ca="1" si="234"/>
        <v>0</v>
      </c>
      <c r="V556" s="306">
        <f t="shared" ca="1" si="235"/>
        <v>1.0097995409999394</v>
      </c>
      <c r="W556" s="304">
        <f t="shared" ca="1" si="236"/>
        <v>0.51126388832036029</v>
      </c>
      <c r="Y556" s="314" t="str">
        <f t="shared" ca="1" si="254"/>
        <v/>
      </c>
      <c r="Z556" s="315" t="str">
        <f t="shared" ca="1" si="255"/>
        <v/>
      </c>
      <c r="AA556" s="316" t="str">
        <f t="shared" ca="1" si="256"/>
        <v/>
      </c>
      <c r="AC556" s="310" t="e">
        <f t="shared" ca="1" si="257"/>
        <v>#N/A</v>
      </c>
      <c r="AD556" s="323" t="e">
        <f t="shared" ca="1" si="258"/>
        <v>#N/A</v>
      </c>
      <c r="AE556" s="324" t="e">
        <f t="shared" ca="1" si="237"/>
        <v>#N/A</v>
      </c>
      <c r="AG556" s="306">
        <f t="shared" ca="1" si="259"/>
        <v>1.7643042018314961</v>
      </c>
      <c r="AH556" s="304">
        <f t="shared" ca="1" si="260"/>
        <v>-8.0771900438084798E-2</v>
      </c>
    </row>
    <row r="557" spans="1:34" x14ac:dyDescent="0.2">
      <c r="A557" s="347">
        <f t="shared" ca="1" si="238"/>
        <v>0.1</v>
      </c>
      <c r="B557" s="304">
        <f t="shared" ca="1" si="239"/>
        <v>19.299999999999962</v>
      </c>
      <c r="D557" s="306">
        <f t="shared" ca="1" si="240"/>
        <v>-8.0424670756133979E-2</v>
      </c>
      <c r="E557" s="307">
        <f t="shared" ca="1" si="241"/>
        <v>-9.7890628211847748</v>
      </c>
      <c r="F557" s="304">
        <f t="shared" ca="1" si="242"/>
        <v>9.7893931908350815</v>
      </c>
      <c r="G557" s="306">
        <f t="shared" ca="1" si="243"/>
        <v>14.243624579286633</v>
      </c>
      <c r="H557" s="307">
        <f t="shared" ca="1" si="244"/>
        <v>-4.6890825073905615</v>
      </c>
      <c r="I557" s="304">
        <f t="shared" ca="1" si="245"/>
        <v>14.995610554984898</v>
      </c>
      <c r="J557" s="306">
        <f t="shared" ca="1" si="246"/>
        <v>329.05350137519792</v>
      </c>
      <c r="K557" s="307">
        <f t="shared" ca="1" si="247"/>
        <v>1925.4839497138166</v>
      </c>
      <c r="L557" s="304">
        <f t="shared" ca="1" si="232"/>
        <v>1953.3982306157639</v>
      </c>
      <c r="M557" s="306">
        <f t="shared" ca="1" si="248"/>
        <v>-0.31803110255131223</v>
      </c>
      <c r="N557" s="304">
        <f t="shared" ca="1" si="249"/>
        <v>-18.22183993008246</v>
      </c>
      <c r="P557" s="310">
        <f t="shared" ca="1" si="250"/>
        <v>23</v>
      </c>
      <c r="Q557" s="304">
        <f t="shared" ca="1" si="251"/>
        <v>0</v>
      </c>
      <c r="R557" s="306">
        <f t="shared" ca="1" si="252"/>
        <v>0</v>
      </c>
      <c r="S557" s="307">
        <f t="shared" ca="1" si="253"/>
        <v>6.1519999999999921</v>
      </c>
      <c r="T557" s="304">
        <f t="shared" ca="1" si="233"/>
        <v>60.351119999999923</v>
      </c>
      <c r="U557" s="311">
        <f t="shared" ca="1" si="234"/>
        <v>0</v>
      </c>
      <c r="V557" s="306">
        <f t="shared" ca="1" si="235"/>
        <v>1.009842346576326</v>
      </c>
      <c r="W557" s="304">
        <f t="shared" ca="1" si="236"/>
        <v>0.5301289219685601</v>
      </c>
      <c r="Y557" s="314" t="str">
        <f t="shared" ca="1" si="254"/>
        <v/>
      </c>
      <c r="Z557" s="315" t="str">
        <f t="shared" ca="1" si="255"/>
        <v/>
      </c>
      <c r="AA557" s="316" t="str">
        <f t="shared" ca="1" si="256"/>
        <v/>
      </c>
      <c r="AC557" s="310" t="e">
        <f t="shared" ca="1" si="257"/>
        <v>#N/A</v>
      </c>
      <c r="AD557" s="323" t="e">
        <f t="shared" ca="1" si="258"/>
        <v>#N/A</v>
      </c>
      <c r="AE557" s="324" t="e">
        <f t="shared" ca="1" si="237"/>
        <v>#N/A</v>
      </c>
      <c r="AG557" s="306">
        <f t="shared" ca="1" si="259"/>
        <v>2.3883819556632897</v>
      </c>
      <c r="AH557" s="304">
        <f t="shared" ca="1" si="260"/>
        <v>-8.3105313446092482E-2</v>
      </c>
    </row>
    <row r="558" spans="1:34" x14ac:dyDescent="0.2">
      <c r="A558" s="347">
        <f t="shared" ca="1" si="238"/>
        <v>0.1</v>
      </c>
      <c r="B558" s="304">
        <f t="shared" ca="1" si="239"/>
        <v>19.399999999999963</v>
      </c>
      <c r="D558" s="306">
        <f t="shared" ca="1" si="240"/>
        <v>-8.1850537755459821E-2</v>
      </c>
      <c r="E558" s="307">
        <f t="shared" ca="1" si="241"/>
        <v>-9.7830543358066482</v>
      </c>
      <c r="F558" s="304">
        <f t="shared" ca="1" si="242"/>
        <v>9.7833967336440022</v>
      </c>
      <c r="G558" s="306">
        <f t="shared" ca="1" si="243"/>
        <v>14.235439525511087</v>
      </c>
      <c r="H558" s="307">
        <f t="shared" ca="1" si="244"/>
        <v>-5.667387940971226</v>
      </c>
      <c r="I558" s="304">
        <f t="shared" ca="1" si="245"/>
        <v>15.322109011423636</v>
      </c>
      <c r="J558" s="306">
        <f t="shared" ca="1" si="246"/>
        <v>330.47745458043784</v>
      </c>
      <c r="K558" s="307">
        <f t="shared" ca="1" si="247"/>
        <v>1924.9661261913986</v>
      </c>
      <c r="L558" s="304">
        <f t="shared" ca="1" si="232"/>
        <v>1953.1282433496999</v>
      </c>
      <c r="M558" s="306">
        <f t="shared" ca="1" si="248"/>
        <v>-0.37888310690289723</v>
      </c>
      <c r="N558" s="304">
        <f t="shared" ca="1" si="249"/>
        <v>-21.708402954339999</v>
      </c>
      <c r="P558" s="310">
        <f t="shared" ca="1" si="250"/>
        <v>23</v>
      </c>
      <c r="Q558" s="304">
        <f t="shared" ca="1" si="251"/>
        <v>0</v>
      </c>
      <c r="R558" s="306">
        <f t="shared" ca="1" si="252"/>
        <v>0</v>
      </c>
      <c r="S558" s="307">
        <f t="shared" ca="1" si="253"/>
        <v>6.1519999999999921</v>
      </c>
      <c r="T558" s="304">
        <f t="shared" ca="1" si="233"/>
        <v>60.351119999999923</v>
      </c>
      <c r="U558" s="311">
        <f t="shared" ca="1" si="234"/>
        <v>0</v>
      </c>
      <c r="V558" s="306">
        <f t="shared" ca="1" si="235"/>
        <v>1.00989512904948</v>
      </c>
      <c r="W558" s="304">
        <f t="shared" ca="1" si="236"/>
        <v>0.55349408909368336</v>
      </c>
      <c r="Y558" s="314" t="str">
        <f t="shared" ca="1" si="254"/>
        <v/>
      </c>
      <c r="Z558" s="315" t="str">
        <f t="shared" ca="1" si="255"/>
        <v/>
      </c>
      <c r="AA558" s="316" t="str">
        <f t="shared" ca="1" si="256"/>
        <v/>
      </c>
      <c r="AC558" s="310" t="e">
        <f t="shared" ca="1" si="257"/>
        <v>#N/A</v>
      </c>
      <c r="AD558" s="323" t="e">
        <f t="shared" ca="1" si="258"/>
        <v>#N/A</v>
      </c>
      <c r="AE558" s="324" t="e">
        <f t="shared" ca="1" si="237"/>
        <v>#N/A</v>
      </c>
      <c r="AG558" s="306">
        <f t="shared" ca="1" si="259"/>
        <v>2.9813858168395111</v>
      </c>
      <c r="AH558" s="304">
        <f t="shared" ca="1" si="260"/>
        <v>-8.6171801360299213E-2</v>
      </c>
    </row>
    <row r="559" spans="1:34" x14ac:dyDescent="0.2">
      <c r="A559" s="347">
        <f t="shared" ca="1" si="238"/>
        <v>0.1</v>
      </c>
      <c r="B559" s="304">
        <f t="shared" ca="1" si="239"/>
        <v>19.499999999999964</v>
      </c>
      <c r="D559" s="306">
        <f t="shared" ca="1" si="240"/>
        <v>-8.3588973764739116E-2</v>
      </c>
      <c r="E559" s="307">
        <f t="shared" ca="1" si="241"/>
        <v>-9.7767217059885319</v>
      </c>
      <c r="F559" s="304">
        <f t="shared" ca="1" si="242"/>
        <v>9.7770790337852116</v>
      </c>
      <c r="G559" s="306">
        <f t="shared" ca="1" si="243"/>
        <v>14.227080628134612</v>
      </c>
      <c r="H559" s="307">
        <f t="shared" ca="1" si="244"/>
        <v>-6.6450601115700794</v>
      </c>
      <c r="I559" s="304">
        <f t="shared" ca="1" si="245"/>
        <v>15.702440800264871</v>
      </c>
      <c r="J559" s="306">
        <f t="shared" ca="1" si="246"/>
        <v>331.90058058812014</v>
      </c>
      <c r="K559" s="307">
        <f t="shared" ca="1" si="247"/>
        <v>1924.3505037887717</v>
      </c>
      <c r="L559" s="304">
        <f t="shared" ca="1" si="232"/>
        <v>1952.7628777777477</v>
      </c>
      <c r="M559" s="306">
        <f t="shared" ca="1" si="248"/>
        <v>-0.43695932637223117</v>
      </c>
      <c r="N559" s="304">
        <f t="shared" ca="1" si="249"/>
        <v>-25.035925220008334</v>
      </c>
      <c r="P559" s="310">
        <f t="shared" ca="1" si="250"/>
        <v>23</v>
      </c>
      <c r="Q559" s="304">
        <f t="shared" ca="1" si="251"/>
        <v>0</v>
      </c>
      <c r="R559" s="306">
        <f t="shared" ca="1" si="252"/>
        <v>0</v>
      </c>
      <c r="S559" s="307">
        <f t="shared" ca="1" si="253"/>
        <v>6.1519999999999921</v>
      </c>
      <c r="T559" s="304">
        <f t="shared" ca="1" si="233"/>
        <v>60.351119999999923</v>
      </c>
      <c r="U559" s="311">
        <f t="shared" ca="1" si="234"/>
        <v>0</v>
      </c>
      <c r="V559" s="306">
        <f t="shared" ca="1" si="235"/>
        <v>1.0099578835428786</v>
      </c>
      <c r="W559" s="304">
        <f t="shared" ca="1" si="236"/>
        <v>0.58134937126479935</v>
      </c>
      <c r="Y559" s="314" t="str">
        <f t="shared" ca="1" si="254"/>
        <v/>
      </c>
      <c r="Z559" s="315" t="str">
        <f t="shared" ca="1" si="255"/>
        <v/>
      </c>
      <c r="AA559" s="316" t="str">
        <f t="shared" ca="1" si="256"/>
        <v/>
      </c>
      <c r="AC559" s="310" t="e">
        <f t="shared" ca="1" si="257"/>
        <v>#N/A</v>
      </c>
      <c r="AD559" s="323" t="e">
        <f t="shared" ca="1" si="258"/>
        <v>#N/A</v>
      </c>
      <c r="AE559" s="324" t="e">
        <f t="shared" ca="1" si="237"/>
        <v>#N/A</v>
      </c>
      <c r="AG559" s="306">
        <f t="shared" ca="1" si="259"/>
        <v>3.5385826375011487</v>
      </c>
      <c r="AH559" s="304">
        <f t="shared" ca="1" si="260"/>
        <v>-8.9969780411847222E-2</v>
      </c>
    </row>
    <row r="560" spans="1:34" x14ac:dyDescent="0.2">
      <c r="A560" s="347">
        <f t="shared" ca="1" si="238"/>
        <v>0.1</v>
      </c>
      <c r="B560" s="304">
        <f t="shared" ca="1" si="239"/>
        <v>19.599999999999966</v>
      </c>
      <c r="D560" s="306">
        <f t="shared" ca="1" si="240"/>
        <v>-8.5618873277664417E-2</v>
      </c>
      <c r="E560" s="307">
        <f t="shared" ca="1" si="241"/>
        <v>-9.7700098871661787</v>
      </c>
      <c r="F560" s="304">
        <f t="shared" ca="1" si="242"/>
        <v>9.7703850377959114</v>
      </c>
      <c r="G560" s="306">
        <f t="shared" ca="1" si="243"/>
        <v>14.218518740806845</v>
      </c>
      <c r="H560" s="307">
        <f t="shared" ca="1" si="244"/>
        <v>-7.6220611002866976</v>
      </c>
      <c r="I560" s="304">
        <f t="shared" ca="1" si="245"/>
        <v>16.132640533997499</v>
      </c>
      <c r="J560" s="306">
        <f t="shared" ca="1" si="246"/>
        <v>333.32286055656721</v>
      </c>
      <c r="K560" s="307">
        <f t="shared" ca="1" si="247"/>
        <v>1923.6371477281789</v>
      </c>
      <c r="L560" s="304">
        <f t="shared" ca="1" si="232"/>
        <v>1952.302232106857</v>
      </c>
      <c r="M560" s="306">
        <f t="shared" ca="1" si="248"/>
        <v>-0.49208223647268812</v>
      </c>
      <c r="N560" s="304">
        <f t="shared" ca="1" si="249"/>
        <v>-28.194235323243575</v>
      </c>
      <c r="P560" s="310">
        <f t="shared" ca="1" si="250"/>
        <v>23</v>
      </c>
      <c r="Q560" s="304">
        <f t="shared" ca="1" si="251"/>
        <v>0</v>
      </c>
      <c r="R560" s="306">
        <f t="shared" ca="1" si="252"/>
        <v>0</v>
      </c>
      <c r="S560" s="307">
        <f t="shared" ca="1" si="253"/>
        <v>6.1519999999999921</v>
      </c>
      <c r="T560" s="304">
        <f t="shared" ca="1" si="233"/>
        <v>60.351119999999923</v>
      </c>
      <c r="U560" s="311">
        <f t="shared" ca="1" si="234"/>
        <v>0</v>
      </c>
      <c r="V560" s="306">
        <f t="shared" ca="1" si="235"/>
        <v>1.0100306050872399</v>
      </c>
      <c r="W560" s="304">
        <f t="shared" ca="1" si="236"/>
        <v>0.61368436906826429</v>
      </c>
      <c r="Y560" s="314" t="str">
        <f t="shared" ca="1" si="254"/>
        <v/>
      </c>
      <c r="Z560" s="315" t="str">
        <f t="shared" ca="1" si="255"/>
        <v/>
      </c>
      <c r="AA560" s="316" t="str">
        <f t="shared" ca="1" si="256"/>
        <v/>
      </c>
      <c r="AC560" s="310" t="e">
        <f t="shared" ca="1" si="257"/>
        <v>#N/A</v>
      </c>
      <c r="AD560" s="323" t="e">
        <f t="shared" ca="1" si="258"/>
        <v>#N/A</v>
      </c>
      <c r="AE560" s="324" t="e">
        <f t="shared" ca="1" si="237"/>
        <v>#N/A</v>
      </c>
      <c r="AG560" s="306">
        <f t="shared" ca="1" si="259"/>
        <v>4.056961410506787</v>
      </c>
      <c r="AH560" s="304">
        <f t="shared" ca="1" si="260"/>
        <v>-9.449762211716517E-2</v>
      </c>
    </row>
    <row r="561" spans="1:34" x14ac:dyDescent="0.2">
      <c r="A561" s="347">
        <f t="shared" ca="1" si="238"/>
        <v>0.1</v>
      </c>
      <c r="B561" s="304">
        <f t="shared" ca="1" si="239"/>
        <v>19.699999999999967</v>
      </c>
      <c r="D561" s="306">
        <f t="shared" ca="1" si="240"/>
        <v>-8.7917966116983895E-2</v>
      </c>
      <c r="E561" s="307">
        <f t="shared" ca="1" si="241"/>
        <v>-9.7628701883949862</v>
      </c>
      <c r="F561" s="304">
        <f t="shared" ca="1" si="242"/>
        <v>9.7632660459611422</v>
      </c>
      <c r="G561" s="306">
        <f t="shared" ca="1" si="243"/>
        <v>14.209726944195147</v>
      </c>
      <c r="H561" s="307">
        <f t="shared" ca="1" si="244"/>
        <v>-8.5983481191261966</v>
      </c>
      <c r="I561" s="304">
        <f t="shared" ca="1" si="245"/>
        <v>16.608670332277253</v>
      </c>
      <c r="J561" s="306">
        <f t="shared" ca="1" si="246"/>
        <v>334.7442728408173</v>
      </c>
      <c r="K561" s="307">
        <f t="shared" ca="1" si="247"/>
        <v>1922.8261272672082</v>
      </c>
      <c r="L561" s="304">
        <f t="shared" ca="1" si="232"/>
        <v>1951.7464087071194</v>
      </c>
      <c r="M561" s="306">
        <f t="shared" ca="1" si="248"/>
        <v>-0.54416324557910611</v>
      </c>
      <c r="N561" s="304">
        <f t="shared" ca="1" si="249"/>
        <v>-31.178257337823734</v>
      </c>
      <c r="P561" s="310">
        <f t="shared" ca="1" si="250"/>
        <v>23</v>
      </c>
      <c r="Q561" s="304">
        <f t="shared" ca="1" si="251"/>
        <v>0</v>
      </c>
      <c r="R561" s="306">
        <f t="shared" ca="1" si="252"/>
        <v>0</v>
      </c>
      <c r="S561" s="307">
        <f t="shared" ca="1" si="253"/>
        <v>6.1519999999999921</v>
      </c>
      <c r="T561" s="304">
        <f t="shared" ca="1" si="233"/>
        <v>60.351119999999923</v>
      </c>
      <c r="U561" s="311">
        <f t="shared" ca="1" si="234"/>
        <v>0</v>
      </c>
      <c r="V561" s="306">
        <f t="shared" ca="1" si="235"/>
        <v>1.0101132885670565</v>
      </c>
      <c r="W561" s="304">
        <f t="shared" ca="1" si="236"/>
        <v>0.65048820812934172</v>
      </c>
      <c r="Y561" s="314" t="str">
        <f t="shared" ca="1" si="254"/>
        <v/>
      </c>
      <c r="Z561" s="315" t="str">
        <f t="shared" ca="1" si="255"/>
        <v/>
      </c>
      <c r="AA561" s="316" t="str">
        <f t="shared" ca="1" si="256"/>
        <v/>
      </c>
      <c r="AC561" s="310" t="e">
        <f t="shared" ca="1" si="257"/>
        <v>#N/A</v>
      </c>
      <c r="AD561" s="323" t="e">
        <f t="shared" ca="1" si="258"/>
        <v>#N/A</v>
      </c>
      <c r="AE561" s="324" t="e">
        <f t="shared" ca="1" si="237"/>
        <v>#N/A</v>
      </c>
      <c r="AG561" s="306">
        <f t="shared" ca="1" si="259"/>
        <v>4.5350994889549598</v>
      </c>
      <c r="AH561" s="304">
        <f t="shared" ca="1" si="260"/>
        <v>-9.9753636064412399E-2</v>
      </c>
    </row>
    <row r="562" spans="1:34" x14ac:dyDescent="0.2">
      <c r="A562" s="347">
        <f t="shared" ca="1" si="238"/>
        <v>0.1</v>
      </c>
      <c r="B562" s="304">
        <f t="shared" ca="1" si="239"/>
        <v>19.799999999999969</v>
      </c>
      <c r="D562" s="306">
        <f t="shared" ca="1" si="240"/>
        <v>-9.0463621379380937E-2</v>
      </c>
      <c r="E562" s="307">
        <f t="shared" ca="1" si="241"/>
        <v>-9.7552601931204244</v>
      </c>
      <c r="F562" s="304">
        <f t="shared" ca="1" si="242"/>
        <v>9.7556796330277784</v>
      </c>
      <c r="G562" s="306">
        <f t="shared" ca="1" si="243"/>
        <v>14.200680582057208</v>
      </c>
      <c r="H562" s="307">
        <f t="shared" ca="1" si="244"/>
        <v>-9.5738741384382386</v>
      </c>
      <c r="I562" s="304">
        <f t="shared" ca="1" si="245"/>
        <v>17.126540660982101</v>
      </c>
      <c r="J562" s="306">
        <f t="shared" ca="1" si="246"/>
        <v>336.1647932171299</v>
      </c>
      <c r="K562" s="307">
        <f t="shared" ca="1" si="247"/>
        <v>1921.9175161543301</v>
      </c>
      <c r="L562" s="304">
        <f t="shared" ca="1" si="232"/>
        <v>1951.0955146018723</v>
      </c>
      <c r="M562" s="306">
        <f t="shared" ca="1" si="248"/>
        <v>-0.5931889917044636</v>
      </c>
      <c r="N562" s="304">
        <f t="shared" ca="1" si="249"/>
        <v>-33.987225678286563</v>
      </c>
      <c r="P562" s="310">
        <f t="shared" ca="1" si="250"/>
        <v>23</v>
      </c>
      <c r="Q562" s="304">
        <f t="shared" ca="1" si="251"/>
        <v>0</v>
      </c>
      <c r="R562" s="306">
        <f t="shared" ca="1" si="252"/>
        <v>0</v>
      </c>
      <c r="S562" s="307">
        <f t="shared" ca="1" si="253"/>
        <v>6.1519999999999921</v>
      </c>
      <c r="T562" s="304">
        <f t="shared" ca="1" si="233"/>
        <v>60.351119999999923</v>
      </c>
      <c r="U562" s="311">
        <f t="shared" ca="1" si="234"/>
        <v>0</v>
      </c>
      <c r="V562" s="306">
        <f t="shared" ca="1" si="235"/>
        <v>1.0102059286735179</v>
      </c>
      <c r="W562" s="304">
        <f t="shared" ca="1" si="236"/>
        <v>0.69174945709006852</v>
      </c>
      <c r="Y562" s="314" t="str">
        <f t="shared" ca="1" si="254"/>
        <v/>
      </c>
      <c r="Z562" s="315" t="str">
        <f t="shared" ca="1" si="255"/>
        <v/>
      </c>
      <c r="AA562" s="316" t="str">
        <f t="shared" ca="1" si="256"/>
        <v/>
      </c>
      <c r="AC562" s="310" t="e">
        <f t="shared" ca="1" si="257"/>
        <v>#N/A</v>
      </c>
      <c r="AD562" s="323" t="e">
        <f t="shared" ca="1" si="258"/>
        <v>#N/A</v>
      </c>
      <c r="AE562" s="324" t="e">
        <f t="shared" ca="1" si="237"/>
        <v>#N/A</v>
      </c>
      <c r="AG562" s="306">
        <f t="shared" ca="1" si="259"/>
        <v>4.9729242692238449</v>
      </c>
      <c r="AH562" s="304">
        <f t="shared" ca="1" si="260"/>
        <v>-0.10573605463740939</v>
      </c>
    </row>
    <row r="563" spans="1:34" x14ac:dyDescent="0.2">
      <c r="A563" s="347">
        <f t="shared" ca="1" si="238"/>
        <v>0.1</v>
      </c>
      <c r="B563" s="304">
        <f t="shared" ca="1" si="239"/>
        <v>19.89999999999997</v>
      </c>
      <c r="D563" s="306">
        <f t="shared" ca="1" si="240"/>
        <v>-9.3233504524274133E-2</v>
      </c>
      <c r="E563" s="307">
        <f t="shared" ca="1" si="241"/>
        <v>-9.7471434465663052</v>
      </c>
      <c r="F563" s="304">
        <f t="shared" ca="1" si="242"/>
        <v>9.7475893355386258</v>
      </c>
      <c r="G563" s="306">
        <f t="shared" ca="1" si="243"/>
        <v>14.19135723160478</v>
      </c>
      <c r="H563" s="307">
        <f t="shared" ca="1" si="244"/>
        <v>-10.54858848309487</v>
      </c>
      <c r="I563" s="304">
        <f t="shared" ca="1" si="245"/>
        <v>17.682401959595392</v>
      </c>
      <c r="J563" s="306">
        <f t="shared" ca="1" si="246"/>
        <v>337.58439510781301</v>
      </c>
      <c r="K563" s="307">
        <f t="shared" ca="1" si="247"/>
        <v>1920.9113930232534</v>
      </c>
      <c r="L563" s="304">
        <f t="shared" ca="1" si="232"/>
        <v>1950.3496618983079</v>
      </c>
      <c r="M563" s="306">
        <f t="shared" ca="1" si="248"/>
        <v>-0.63920622927766901</v>
      </c>
      <c r="N563" s="304">
        <f t="shared" ca="1" si="249"/>
        <v>-36.623819176082073</v>
      </c>
      <c r="P563" s="310">
        <f t="shared" ca="1" si="250"/>
        <v>23</v>
      </c>
      <c r="Q563" s="304">
        <f t="shared" ca="1" si="251"/>
        <v>0</v>
      </c>
      <c r="R563" s="306">
        <f t="shared" ca="1" si="252"/>
        <v>0</v>
      </c>
      <c r="S563" s="307">
        <f t="shared" ca="1" si="253"/>
        <v>6.1519999999999921</v>
      </c>
      <c r="T563" s="304">
        <f t="shared" ca="1" si="233"/>
        <v>60.351119999999923</v>
      </c>
      <c r="U563" s="311">
        <f t="shared" ca="1" si="234"/>
        <v>0</v>
      </c>
      <c r="V563" s="306">
        <f t="shared" ca="1" si="235"/>
        <v>1.0103085198636033</v>
      </c>
      <c r="W563" s="304">
        <f t="shared" ca="1" si="236"/>
        <v>0.73745605709708228</v>
      </c>
      <c r="Y563" s="314" t="str">
        <f t="shared" ca="1" si="254"/>
        <v/>
      </c>
      <c r="Z563" s="315" t="str">
        <f t="shared" ca="1" si="255"/>
        <v/>
      </c>
      <c r="AA563" s="316" t="str">
        <f t="shared" ca="1" si="256"/>
        <v/>
      </c>
      <c r="AC563" s="310" t="e">
        <f t="shared" ca="1" si="257"/>
        <v>#N/A</v>
      </c>
      <c r="AD563" s="323" t="e">
        <f t="shared" ca="1" si="258"/>
        <v>#N/A</v>
      </c>
      <c r="AE563" s="324" t="e">
        <f t="shared" ca="1" si="237"/>
        <v>#N/A</v>
      </c>
      <c r="AG563" s="306">
        <f t="shared" ca="1" si="259"/>
        <v>5.3714259738988419</v>
      </c>
      <c r="AH563" s="304">
        <f t="shared" ca="1" si="260"/>
        <v>-0.11244301968304118</v>
      </c>
    </row>
    <row r="564" spans="1:34" x14ac:dyDescent="0.2">
      <c r="A564" s="347">
        <f t="shared" ca="1" si="238"/>
        <v>0.1</v>
      </c>
      <c r="B564" s="304">
        <f t="shared" ca="1" si="239"/>
        <v>19.999999999999972</v>
      </c>
      <c r="D564" s="306">
        <f t="shared" ca="1" si="240"/>
        <v>-9.6206074373992742E-2</v>
      </c>
      <c r="E564" s="307">
        <f t="shared" ca="1" si="241"/>
        <v>-9.7384889900533853</v>
      </c>
      <c r="F564" s="304">
        <f t="shared" ca="1" si="242"/>
        <v>9.7389641860999507</v>
      </c>
      <c r="G564" s="306">
        <f t="shared" ca="1" si="243"/>
        <v>14.18173662416738</v>
      </c>
      <c r="H564" s="307">
        <f t="shared" ca="1" si="244"/>
        <v>-11.522437382100208</v>
      </c>
      <c r="I564" s="304">
        <f t="shared" ca="1" si="245"/>
        <v>18.272608377067318</v>
      </c>
      <c r="J564" s="306">
        <f t="shared" ca="1" si="246"/>
        <v>339.00304980060162</v>
      </c>
      <c r="K564" s="307">
        <f t="shared" ca="1" si="247"/>
        <v>1919.8078417299937</v>
      </c>
      <c r="L564" s="304">
        <f t="shared" ca="1" si="232"/>
        <v>1949.508968161492</v>
      </c>
      <c r="M564" s="306">
        <f t="shared" ca="1" si="248"/>
        <v>-0.6823070565854249</v>
      </c>
      <c r="N564" s="304">
        <f t="shared" ca="1" si="249"/>
        <v>-39.093314674338686</v>
      </c>
      <c r="P564" s="310">
        <f t="shared" ca="1" si="250"/>
        <v>23</v>
      </c>
      <c r="Q564" s="304">
        <f t="shared" ca="1" si="251"/>
        <v>0</v>
      </c>
      <c r="R564" s="306">
        <f t="shared" ca="1" si="252"/>
        <v>0</v>
      </c>
      <c r="S564" s="307">
        <f t="shared" ca="1" si="253"/>
        <v>6.1519999999999921</v>
      </c>
      <c r="T564" s="304">
        <f t="shared" ca="1" si="233"/>
        <v>60.351119999999923</v>
      </c>
      <c r="U564" s="311">
        <f t="shared" ca="1" si="234"/>
        <v>0</v>
      </c>
      <c r="V564" s="306">
        <f t="shared" ca="1" si="235"/>
        <v>1.0104210563249507</v>
      </c>
      <c r="W564" s="304">
        <f t="shared" ca="1" si="236"/>
        <v>0.78759526201833929</v>
      </c>
      <c r="Y564" s="314" t="str">
        <f t="shared" ca="1" si="254"/>
        <v/>
      </c>
      <c r="Z564" s="315" t="str">
        <f t="shared" ca="1" si="255"/>
        <v/>
      </c>
      <c r="AA564" s="316" t="str">
        <f t="shared" ca="1" si="256"/>
        <v/>
      </c>
      <c r="AC564" s="310">
        <f t="shared" ca="1" si="257"/>
        <v>19.999999999999972</v>
      </c>
      <c r="AD564" s="323">
        <f t="shared" ca="1" si="258"/>
        <v>339.00304980060162</v>
      </c>
      <c r="AE564" s="324" t="e">
        <f t="shared" ca="1" si="237"/>
        <v>#N/A</v>
      </c>
      <c r="AG564" s="306">
        <f t="shared" ca="1" si="259"/>
        <v>5.7323670316705666</v>
      </c>
      <c r="AH564" s="304">
        <f t="shared" ca="1" si="260"/>
        <v>-0.1198725710495909</v>
      </c>
    </row>
    <row r="565" spans="1:34" x14ac:dyDescent="0.2">
      <c r="A565" s="347">
        <f t="shared" ca="1" si="238"/>
        <v>0.1</v>
      </c>
      <c r="B565" s="304">
        <f t="shared" ca="1" si="239"/>
        <v>20.099999999999973</v>
      </c>
      <c r="D565" s="306">
        <f t="shared" ca="1" si="240"/>
        <v>-9.9360927599519533E-2</v>
      </c>
      <c r="E565" s="307">
        <f t="shared" ca="1" si="241"/>
        <v>-9.7292708131004328</v>
      </c>
      <c r="F565" s="304">
        <f t="shared" ca="1" si="242"/>
        <v>9.7297781654352935</v>
      </c>
      <c r="G565" s="306">
        <f t="shared" ca="1" si="243"/>
        <v>14.171800531407428</v>
      </c>
      <c r="H565" s="307">
        <f t="shared" ca="1" si="244"/>
        <v>-12.495364463410251</v>
      </c>
      <c r="I565" s="304">
        <f t="shared" ca="1" si="245"/>
        <v>18.893757259355684</v>
      </c>
      <c r="J565" s="306">
        <f t="shared" ca="1" si="246"/>
        <v>340.42072665838037</v>
      </c>
      <c r="K565" s="307">
        <f t="shared" ca="1" si="247"/>
        <v>1918.6069516377181</v>
      </c>
      <c r="L565" s="304">
        <f t="shared" ca="1" si="232"/>
        <v>1948.5735567361055</v>
      </c>
      <c r="M565" s="306">
        <f t="shared" ca="1" si="248"/>
        <v>-0.72261560484335596</v>
      </c>
      <c r="N565" s="304">
        <f t="shared" ca="1" si="249"/>
        <v>-41.402824367817544</v>
      </c>
      <c r="P565" s="310">
        <f t="shared" ca="1" si="250"/>
        <v>23</v>
      </c>
      <c r="Q565" s="304">
        <f t="shared" ca="1" si="251"/>
        <v>0</v>
      </c>
      <c r="R565" s="306">
        <f t="shared" ca="1" si="252"/>
        <v>0</v>
      </c>
      <c r="S565" s="307">
        <f t="shared" ca="1" si="253"/>
        <v>6.1519999999999921</v>
      </c>
      <c r="T565" s="304">
        <f t="shared" ca="1" si="233"/>
        <v>60.351119999999923</v>
      </c>
      <c r="U565" s="311">
        <f t="shared" ca="1" si="234"/>
        <v>0</v>
      </c>
      <c r="V565" s="306">
        <f t="shared" ca="1" si="235"/>
        <v>1.010543531945985</v>
      </c>
      <c r="W565" s="304">
        <f t="shared" ca="1" si="236"/>
        <v>0.84215358841092391</v>
      </c>
      <c r="Y565" s="314" t="str">
        <f t="shared" ca="1" si="254"/>
        <v/>
      </c>
      <c r="Z565" s="315" t="str">
        <f t="shared" ca="1" si="255"/>
        <v/>
      </c>
      <c r="AA565" s="316" t="str">
        <f t="shared" ca="1" si="256"/>
        <v/>
      </c>
      <c r="AC565" s="310" t="e">
        <f t="shared" ca="1" si="257"/>
        <v>#N/A</v>
      </c>
      <c r="AD565" s="323" t="e">
        <f t="shared" ca="1" si="258"/>
        <v>#N/A</v>
      </c>
      <c r="AE565" s="324" t="e">
        <f t="shared" ca="1" si="237"/>
        <v>#N/A</v>
      </c>
      <c r="AG565" s="306">
        <f t="shared" ca="1" si="259"/>
        <v>6.0580186981089232</v>
      </c>
      <c r="AH565" s="304">
        <f t="shared" ca="1" si="260"/>
        <v>-0.128022636869041</v>
      </c>
    </row>
    <row r="566" spans="1:34" x14ac:dyDescent="0.2">
      <c r="A566" s="347">
        <f t="shared" ca="1" si="238"/>
        <v>0.1</v>
      </c>
      <c r="B566" s="304">
        <f t="shared" ca="1" si="239"/>
        <v>20.199999999999974</v>
      </c>
      <c r="D566" s="306">
        <f t="shared" ca="1" si="240"/>
        <v>-0.10267901086184561</v>
      </c>
      <c r="E566" s="307">
        <f t="shared" ca="1" si="241"/>
        <v>-9.7194672790082102</v>
      </c>
      <c r="F566" s="304">
        <f t="shared" ca="1" si="242"/>
        <v>9.7200096279264461</v>
      </c>
      <c r="G566" s="306">
        <f t="shared" ca="1" si="243"/>
        <v>14.161532630321243</v>
      </c>
      <c r="H566" s="307">
        <f t="shared" ca="1" si="244"/>
        <v>-13.467311191311072</v>
      </c>
      <c r="I566" s="304">
        <f t="shared" ca="1" si="245"/>
        <v>19.54270905384578</v>
      </c>
      <c r="J566" s="306">
        <f t="shared" ca="1" si="246"/>
        <v>341.83739331646683</v>
      </c>
      <c r="K566" s="307">
        <f t="shared" ca="1" si="247"/>
        <v>1917.308817854982</v>
      </c>
      <c r="L566" s="304">
        <f t="shared" ca="1" si="232"/>
        <v>1947.5435570209629</v>
      </c>
      <c r="M566" s="306">
        <f t="shared" ca="1" si="248"/>
        <v>-0.76027675767516512</v>
      </c>
      <c r="N566" s="304">
        <f t="shared" ca="1" si="249"/>
        <v>-43.560649476677376</v>
      </c>
      <c r="P566" s="310">
        <f t="shared" ca="1" si="250"/>
        <v>23</v>
      </c>
      <c r="Q566" s="304">
        <f t="shared" ca="1" si="251"/>
        <v>0</v>
      </c>
      <c r="R566" s="306">
        <f t="shared" ca="1" si="252"/>
        <v>0</v>
      </c>
      <c r="S566" s="307">
        <f t="shared" ca="1" si="253"/>
        <v>6.1519999999999921</v>
      </c>
      <c r="T566" s="304">
        <f t="shared" ca="1" si="233"/>
        <v>60.351119999999923</v>
      </c>
      <c r="U566" s="311">
        <f t="shared" ca="1" si="234"/>
        <v>0</v>
      </c>
      <c r="V566" s="306">
        <f t="shared" ca="1" si="235"/>
        <v>1.0106759402907191</v>
      </c>
      <c r="W566" s="304">
        <f t="shared" ca="1" si="236"/>
        <v>0.90111677417874469</v>
      </c>
      <c r="Y566" s="314" t="str">
        <f t="shared" ca="1" si="254"/>
        <v/>
      </c>
      <c r="Z566" s="315" t="str">
        <f t="shared" ca="1" si="255"/>
        <v/>
      </c>
      <c r="AA566" s="316" t="str">
        <f t="shared" ca="1" si="256"/>
        <v/>
      </c>
      <c r="AC566" s="310" t="e">
        <f t="shared" ca="1" si="257"/>
        <v>#N/A</v>
      </c>
      <c r="AD566" s="323" t="e">
        <f t="shared" ca="1" si="258"/>
        <v>#N/A</v>
      </c>
      <c r="AE566" s="324" t="e">
        <f t="shared" ca="1" si="237"/>
        <v>#N/A</v>
      </c>
      <c r="AG566" s="306">
        <f t="shared" ca="1" si="259"/>
        <v>6.3509411036433328</v>
      </c>
      <c r="AH566" s="304">
        <f t="shared" ca="1" si="260"/>
        <v>-0.13689102542440262</v>
      </c>
    </row>
    <row r="567" spans="1:34" x14ac:dyDescent="0.2">
      <c r="A567" s="347">
        <f t="shared" ca="1" si="238"/>
        <v>0.1</v>
      </c>
      <c r="B567" s="304">
        <f t="shared" ca="1" si="239"/>
        <v>20.299999999999976</v>
      </c>
      <c r="D567" s="306">
        <f t="shared" ca="1" si="240"/>
        <v>-0.10614272626763502</v>
      </c>
      <c r="E567" s="307">
        <f t="shared" ca="1" si="241"/>
        <v>-9.709060563382824</v>
      </c>
      <c r="F567" s="304">
        <f t="shared" ca="1" si="242"/>
        <v>9.7096407400982212</v>
      </c>
      <c r="G567" s="306">
        <f t="shared" ca="1" si="243"/>
        <v>14.150918357694479</v>
      </c>
      <c r="H567" s="307">
        <f t="shared" ca="1" si="244"/>
        <v>-14.438217247649355</v>
      </c>
      <c r="I567" s="304">
        <f t="shared" ca="1" si="245"/>
        <v>20.216592384881629</v>
      </c>
      <c r="J567" s="306">
        <f t="shared" ca="1" si="246"/>
        <v>343.25301586586761</v>
      </c>
      <c r="K567" s="307">
        <f t="shared" ca="1" si="247"/>
        <v>1915.913541433034</v>
      </c>
      <c r="L567" s="304">
        <f t="shared" ca="1" si="232"/>
        <v>1946.419104701627</v>
      </c>
      <c r="M567" s="306">
        <f t="shared" ca="1" si="248"/>
        <v>-0.79544705831149254</v>
      </c>
      <c r="N567" s="304">
        <f t="shared" ca="1" si="249"/>
        <v>-45.575759267345212</v>
      </c>
      <c r="P567" s="310">
        <f t="shared" ca="1" si="250"/>
        <v>23</v>
      </c>
      <c r="Q567" s="304">
        <f t="shared" ca="1" si="251"/>
        <v>0</v>
      </c>
      <c r="R567" s="306">
        <f t="shared" ca="1" si="252"/>
        <v>0</v>
      </c>
      <c r="S567" s="307">
        <f t="shared" ca="1" si="253"/>
        <v>6.1519999999999921</v>
      </c>
      <c r="T567" s="304">
        <f t="shared" ca="1" si="233"/>
        <v>60.351119999999923</v>
      </c>
      <c r="U567" s="311">
        <f t="shared" ca="1" si="234"/>
        <v>0</v>
      </c>
      <c r="V567" s="306">
        <f t="shared" ca="1" si="235"/>
        <v>1.010818274577661</v>
      </c>
      <c r="W567" s="304">
        <f t="shared" ca="1" si="236"/>
        <v>0.96446974485921544</v>
      </c>
      <c r="Y567" s="314" t="str">
        <f t="shared" ca="1" si="254"/>
        <v/>
      </c>
      <c r="Z567" s="315" t="str">
        <f t="shared" ca="1" si="255"/>
        <v/>
      </c>
      <c r="AA567" s="316" t="str">
        <f t="shared" ca="1" si="256"/>
        <v/>
      </c>
      <c r="AC567" s="310" t="e">
        <f t="shared" ca="1" si="257"/>
        <v>#N/A</v>
      </c>
      <c r="AD567" s="323" t="e">
        <f t="shared" ca="1" si="258"/>
        <v>#N/A</v>
      </c>
      <c r="AE567" s="324" t="e">
        <f t="shared" ca="1" si="237"/>
        <v>#N/A</v>
      </c>
      <c r="AG567" s="306">
        <f t="shared" ca="1" si="259"/>
        <v>6.6138116237992524</v>
      </c>
      <c r="AH567" s="304">
        <f t="shared" ca="1" si="260"/>
        <v>-0.14647541842957507</v>
      </c>
    </row>
    <row r="568" spans="1:34" x14ac:dyDescent="0.2">
      <c r="A568" s="347">
        <f t="shared" ca="1" si="238"/>
        <v>0.1</v>
      </c>
      <c r="B568" s="304">
        <f t="shared" ca="1" si="239"/>
        <v>20.399999999999977</v>
      </c>
      <c r="D568" s="306">
        <f t="shared" ca="1" si="240"/>
        <v>-0.10973595620436946</v>
      </c>
      <c r="E568" s="307">
        <f t="shared" ca="1" si="241"/>
        <v>-9.6980361305529179</v>
      </c>
      <c r="F568" s="304">
        <f t="shared" ca="1" si="242"/>
        <v>9.698656957001516</v>
      </c>
      <c r="G568" s="306">
        <f t="shared" ca="1" si="243"/>
        <v>14.139944762074043</v>
      </c>
      <c r="H568" s="307">
        <f t="shared" ca="1" si="244"/>
        <v>-15.408020860704648</v>
      </c>
      <c r="I568" s="304">
        <f t="shared" ca="1" si="245"/>
        <v>20.912798586473659</v>
      </c>
      <c r="J568" s="306">
        <f t="shared" ca="1" si="246"/>
        <v>344.66755902185605</v>
      </c>
      <c r="K568" s="307">
        <f t="shared" ca="1" si="247"/>
        <v>1914.4212295276163</v>
      </c>
      <c r="L568" s="304">
        <f t="shared" ca="1" si="232"/>
        <v>1945.2003419463288</v>
      </c>
      <c r="M568" s="306">
        <f t="shared" ca="1" si="248"/>
        <v>-0.82828769671907077</v>
      </c>
      <c r="N568" s="304">
        <f t="shared" ca="1" si="249"/>
        <v>-47.457389244614681</v>
      </c>
      <c r="P568" s="310">
        <f t="shared" ca="1" si="250"/>
        <v>23</v>
      </c>
      <c r="Q568" s="304">
        <f t="shared" ca="1" si="251"/>
        <v>0</v>
      </c>
      <c r="R568" s="306">
        <f t="shared" ca="1" si="252"/>
        <v>0</v>
      </c>
      <c r="S568" s="307">
        <f t="shared" ca="1" si="253"/>
        <v>6.1519999999999921</v>
      </c>
      <c r="T568" s="304">
        <f t="shared" ca="1" si="233"/>
        <v>60.351119999999923</v>
      </c>
      <c r="U568" s="311">
        <f t="shared" ca="1" si="234"/>
        <v>0</v>
      </c>
      <c r="V568" s="306">
        <f t="shared" ca="1" si="235"/>
        <v>1.0109705276622649</v>
      </c>
      <c r="W568" s="304">
        <f t="shared" ca="1" si="236"/>
        <v>1.032196586533773</v>
      </c>
      <c r="Y568" s="314" t="str">
        <f t="shared" ca="1" si="254"/>
        <v/>
      </c>
      <c r="Z568" s="315" t="str">
        <f t="shared" ca="1" si="255"/>
        <v/>
      </c>
      <c r="AA568" s="316" t="str">
        <f t="shared" ca="1" si="256"/>
        <v/>
      </c>
      <c r="AC568" s="310" t="e">
        <f t="shared" ca="1" si="257"/>
        <v>#N/A</v>
      </c>
      <c r="AD568" s="323" t="e">
        <f t="shared" ca="1" si="258"/>
        <v>#N/A</v>
      </c>
      <c r="AE568" s="324" t="e">
        <f t="shared" ca="1" si="237"/>
        <v>#N/A</v>
      </c>
      <c r="AG568" s="306">
        <f t="shared" ca="1" si="259"/>
        <v>6.8492990972541152</v>
      </c>
      <c r="AH568" s="304">
        <f t="shared" ca="1" si="260"/>
        <v>-0.1567733655492875</v>
      </c>
    </row>
    <row r="569" spans="1:34" x14ac:dyDescent="0.2">
      <c r="A569" s="347">
        <f t="shared" ca="1" si="238"/>
        <v>0.1</v>
      </c>
      <c r="B569" s="304">
        <f t="shared" ca="1" si="239"/>
        <v>20.499999999999979</v>
      </c>
      <c r="D569" s="306">
        <f t="shared" ca="1" si="240"/>
        <v>-0.11344403100257681</v>
      </c>
      <c r="E569" s="307">
        <f t="shared" ca="1" si="241"/>
        <v>-9.6863822613438746</v>
      </c>
      <c r="F569" s="304">
        <f t="shared" ca="1" si="242"/>
        <v>9.6870465499576994</v>
      </c>
      <c r="G569" s="306">
        <f t="shared" ca="1" si="243"/>
        <v>14.128600358973785</v>
      </c>
      <c r="H569" s="307">
        <f t="shared" ca="1" si="244"/>
        <v>-16.376659086839034</v>
      </c>
      <c r="I569" s="304">
        <f t="shared" ca="1" si="245"/>
        <v>21.628969253067556</v>
      </c>
      <c r="J569" s="306">
        <f t="shared" ca="1" si="246"/>
        <v>346.08098627790844</v>
      </c>
      <c r="K569" s="307">
        <f t="shared" ca="1" si="247"/>
        <v>1912.8319955302391</v>
      </c>
      <c r="L569" s="304">
        <f t="shared" ca="1" si="232"/>
        <v>1943.887417570083</v>
      </c>
      <c r="M569" s="306">
        <f t="shared" ca="1" si="248"/>
        <v>-0.85895932541378983</v>
      </c>
      <c r="N569" s="304">
        <f t="shared" ca="1" si="249"/>
        <v>-49.21474411961443</v>
      </c>
      <c r="P569" s="310">
        <f t="shared" ca="1" si="250"/>
        <v>23</v>
      </c>
      <c r="Q569" s="304">
        <f t="shared" ca="1" si="251"/>
        <v>0</v>
      </c>
      <c r="R569" s="306">
        <f t="shared" ca="1" si="252"/>
        <v>0</v>
      </c>
      <c r="S569" s="307">
        <f t="shared" ca="1" si="253"/>
        <v>6.1519999999999921</v>
      </c>
      <c r="T569" s="304">
        <f t="shared" ca="1" si="233"/>
        <v>60.351119999999923</v>
      </c>
      <c r="U569" s="311">
        <f t="shared" ca="1" si="234"/>
        <v>0</v>
      </c>
      <c r="V569" s="306">
        <f t="shared" ca="1" si="235"/>
        <v>1.0111326920224177</v>
      </c>
      <c r="W569" s="304">
        <f t="shared" ca="1" si="236"/>
        <v>1.104280524444986</v>
      </c>
      <c r="Y569" s="314" t="str">
        <f t="shared" ca="1" si="254"/>
        <v/>
      </c>
      <c r="Z569" s="315" t="str">
        <f t="shared" ca="1" si="255"/>
        <v/>
      </c>
      <c r="AA569" s="316" t="str">
        <f t="shared" ca="1" si="256"/>
        <v/>
      </c>
      <c r="AC569" s="310" t="e">
        <f t="shared" ca="1" si="257"/>
        <v>#N/A</v>
      </c>
      <c r="AD569" s="323" t="e">
        <f t="shared" ca="1" si="258"/>
        <v>#N/A</v>
      </c>
      <c r="AE569" s="324" t="e">
        <f t="shared" ca="1" si="237"/>
        <v>#N/A</v>
      </c>
      <c r="AG569" s="306">
        <f t="shared" ca="1" si="259"/>
        <v>7.0599775063619683</v>
      </c>
      <c r="AH569" s="304">
        <f t="shared" ca="1" si="260"/>
        <v>-0.16778227999573705</v>
      </c>
    </row>
    <row r="570" spans="1:34" x14ac:dyDescent="0.2">
      <c r="A570" s="347">
        <f t="shared" ca="1" si="238"/>
        <v>0.1</v>
      </c>
      <c r="B570" s="304">
        <f t="shared" ca="1" si="239"/>
        <v>20.59999999999998</v>
      </c>
      <c r="D570" s="306">
        <f t="shared" ca="1" si="240"/>
        <v>-0.11725365887064967</v>
      </c>
      <c r="E570" s="307">
        <f t="shared" ca="1" si="241"/>
        <v>-9.6740896373865155</v>
      </c>
      <c r="F570" s="304">
        <f t="shared" ca="1" si="242"/>
        <v>9.6748001908415517</v>
      </c>
      <c r="G570" s="306">
        <f t="shared" ca="1" si="243"/>
        <v>14.11687499308672</v>
      </c>
      <c r="H570" s="307">
        <f t="shared" ca="1" si="244"/>
        <v>-17.344068050577686</v>
      </c>
      <c r="I570" s="304">
        <f t="shared" ca="1" si="245"/>
        <v>22.362979589346022</v>
      </c>
      <c r="J570" s="306">
        <f t="shared" ca="1" si="246"/>
        <v>347.49326004551148</v>
      </c>
      <c r="K570" s="307">
        <f t="shared" ca="1" si="247"/>
        <v>1911.1459591733683</v>
      </c>
      <c r="L570" s="304">
        <f t="shared" ca="1" si="232"/>
        <v>1942.4804871714286</v>
      </c>
      <c r="M570" s="306">
        <f t="shared" ca="1" si="248"/>
        <v>-0.88761839651620955</v>
      </c>
      <c r="N570" s="304">
        <f t="shared" ca="1" si="249"/>
        <v>-50.856787938548422</v>
      </c>
      <c r="P570" s="310">
        <f t="shared" ca="1" si="250"/>
        <v>23</v>
      </c>
      <c r="Q570" s="304">
        <f t="shared" ca="1" si="251"/>
        <v>0</v>
      </c>
      <c r="R570" s="306">
        <f t="shared" ca="1" si="252"/>
        <v>0</v>
      </c>
      <c r="S570" s="307">
        <f t="shared" ca="1" si="253"/>
        <v>6.1519999999999921</v>
      </c>
      <c r="T570" s="304">
        <f t="shared" ca="1" si="233"/>
        <v>60.351119999999923</v>
      </c>
      <c r="U570" s="311">
        <f t="shared" ca="1" si="234"/>
        <v>0</v>
      </c>
      <c r="V570" s="306">
        <f t="shared" ca="1" si="235"/>
        <v>1.0113047597465139</v>
      </c>
      <c r="W570" s="304">
        <f t="shared" ca="1" si="236"/>
        <v>1.1807039065056004</v>
      </c>
      <c r="Y570" s="314" t="str">
        <f t="shared" ca="1" si="254"/>
        <v/>
      </c>
      <c r="Z570" s="315" t="str">
        <f t="shared" ca="1" si="255"/>
        <v/>
      </c>
      <c r="AA570" s="316" t="str">
        <f t="shared" ca="1" si="256"/>
        <v/>
      </c>
      <c r="AC570" s="310" t="e">
        <f t="shared" ca="1" si="257"/>
        <v>#N/A</v>
      </c>
      <c r="AD570" s="323" t="e">
        <f t="shared" ca="1" si="258"/>
        <v>#N/A</v>
      </c>
      <c r="AE570" s="324" t="e">
        <f t="shared" ca="1" si="237"/>
        <v>#N/A</v>
      </c>
      <c r="AG570" s="306">
        <f t="shared" ca="1" si="259"/>
        <v>7.2482713367376892</v>
      </c>
      <c r="AH570" s="304">
        <f t="shared" ca="1" si="260"/>
        <v>-0.17949943505282631</v>
      </c>
    </row>
    <row r="571" spans="1:34" x14ac:dyDescent="0.2">
      <c r="A571" s="347">
        <f t="shared" ca="1" si="238"/>
        <v>0.1</v>
      </c>
      <c r="B571" s="304">
        <f t="shared" ca="1" si="239"/>
        <v>20.699999999999982</v>
      </c>
      <c r="D571" s="306">
        <f t="shared" ca="1" si="240"/>
        <v>-0.12115283326288788</v>
      </c>
      <c r="E571" s="307">
        <f t="shared" ca="1" si="241"/>
        <v>-9.6611509816683334</v>
      </c>
      <c r="F571" s="304">
        <f t="shared" ca="1" si="242"/>
        <v>9.6619105926104822</v>
      </c>
      <c r="G571" s="306">
        <f t="shared" ca="1" si="243"/>
        <v>14.104759709760431</v>
      </c>
      <c r="H571" s="307">
        <f t="shared" ca="1" si="244"/>
        <v>-18.310183148744521</v>
      </c>
      <c r="I571" s="304">
        <f t="shared" ca="1" si="245"/>
        <v>23.112919621083119</v>
      </c>
      <c r="J571" s="306">
        <f t="shared" ca="1" si="246"/>
        <v>348.90434178065385</v>
      </c>
      <c r="K571" s="307">
        <f t="shared" ca="1" si="247"/>
        <v>1909.3632466134022</v>
      </c>
      <c r="L571" s="304">
        <f t="shared" ca="1" si="232"/>
        <v>1940.9797132457265</v>
      </c>
      <c r="M571" s="306">
        <f t="shared" ca="1" si="248"/>
        <v>-0.91441471154386378</v>
      </c>
      <c r="N571" s="304">
        <f t="shared" ca="1" si="249"/>
        <v>-52.39210369613599</v>
      </c>
      <c r="P571" s="310">
        <f t="shared" ca="1" si="250"/>
        <v>23</v>
      </c>
      <c r="Q571" s="304">
        <f t="shared" ca="1" si="251"/>
        <v>0</v>
      </c>
      <c r="R571" s="306">
        <f t="shared" ca="1" si="252"/>
        <v>0</v>
      </c>
      <c r="S571" s="307">
        <f t="shared" ca="1" si="253"/>
        <v>6.1519999999999921</v>
      </c>
      <c r="T571" s="304">
        <f t="shared" ca="1" si="233"/>
        <v>60.351119999999923</v>
      </c>
      <c r="U571" s="311">
        <f t="shared" ca="1" si="234"/>
        <v>0</v>
      </c>
      <c r="V571" s="306">
        <f t="shared" ca="1" si="235"/>
        <v>1.0114867225237176</v>
      </c>
      <c r="W571" s="304">
        <f t="shared" ca="1" si="236"/>
        <v>1.2614481909901658</v>
      </c>
      <c r="Y571" s="314" t="str">
        <f t="shared" ca="1" si="254"/>
        <v/>
      </c>
      <c r="Z571" s="315" t="str">
        <f t="shared" ca="1" si="255"/>
        <v/>
      </c>
      <c r="AA571" s="316" t="str">
        <f t="shared" ca="1" si="256"/>
        <v/>
      </c>
      <c r="AC571" s="310" t="e">
        <f t="shared" ca="1" si="257"/>
        <v>#N/A</v>
      </c>
      <c r="AD571" s="323" t="e">
        <f t="shared" ca="1" si="258"/>
        <v>#N/A</v>
      </c>
      <c r="AE571" s="324" t="e">
        <f t="shared" ca="1" si="237"/>
        <v>#N/A</v>
      </c>
      <c r="AG571" s="306">
        <f t="shared" ca="1" si="259"/>
        <v>7.4164249897068704</v>
      </c>
      <c r="AH571" s="304">
        <f t="shared" ca="1" si="260"/>
        <v>-0.19192196139557899</v>
      </c>
    </row>
    <row r="572" spans="1:34" x14ac:dyDescent="0.2">
      <c r="A572" s="347">
        <f t="shared" ca="1" si="238"/>
        <v>0.1</v>
      </c>
      <c r="B572" s="304">
        <f t="shared" ca="1" si="239"/>
        <v>20.799999999999983</v>
      </c>
      <c r="D572" s="306">
        <f t="shared" ca="1" si="240"/>
        <v>-0.12513072890162785</v>
      </c>
      <c r="E572" s="307">
        <f t="shared" ca="1" si="241"/>
        <v>-9.6475607517695448</v>
      </c>
      <c r="F572" s="304">
        <f t="shared" ca="1" si="242"/>
        <v>9.6483722025220189</v>
      </c>
      <c r="G572" s="306">
        <f t="shared" ca="1" si="243"/>
        <v>14.092246636870268</v>
      </c>
      <c r="H572" s="307">
        <f t="shared" ca="1" si="244"/>
        <v>-19.274939223921475</v>
      </c>
      <c r="I572" s="304">
        <f t="shared" ca="1" si="245"/>
        <v>23.877074723681041</v>
      </c>
      <c r="J572" s="306">
        <f t="shared" ca="1" si="246"/>
        <v>350.31419209798537</v>
      </c>
      <c r="K572" s="307">
        <f t="shared" ca="1" si="247"/>
        <v>1907.4839904947689</v>
      </c>
      <c r="L572" s="304">
        <f t="shared" ca="1" si="232"/>
        <v>1939.3852652784367</v>
      </c>
      <c r="M572" s="306">
        <f t="shared" ca="1" si="248"/>
        <v>-0.93948990453355996</v>
      </c>
      <c r="N572" s="304">
        <f t="shared" ca="1" si="249"/>
        <v>-53.828806424921609</v>
      </c>
      <c r="P572" s="310">
        <f t="shared" ca="1" si="250"/>
        <v>23</v>
      </c>
      <c r="Q572" s="304">
        <f t="shared" ca="1" si="251"/>
        <v>0</v>
      </c>
      <c r="R572" s="306">
        <f t="shared" ca="1" si="252"/>
        <v>0</v>
      </c>
      <c r="S572" s="307">
        <f t="shared" ca="1" si="253"/>
        <v>6.1519999999999921</v>
      </c>
      <c r="T572" s="304">
        <f t="shared" ca="1" si="233"/>
        <v>60.351119999999923</v>
      </c>
      <c r="U572" s="311">
        <f t="shared" ca="1" si="234"/>
        <v>0</v>
      </c>
      <c r="V572" s="306">
        <f t="shared" ca="1" si="235"/>
        <v>1.0116785716360741</v>
      </c>
      <c r="W572" s="304">
        <f t="shared" ca="1" si="236"/>
        <v>1.3464939378004928</v>
      </c>
      <c r="Y572" s="314" t="str">
        <f t="shared" ca="1" si="254"/>
        <v/>
      </c>
      <c r="Z572" s="315" t="str">
        <f t="shared" ca="1" si="255"/>
        <v/>
      </c>
      <c r="AA572" s="316" t="str">
        <f t="shared" ca="1" si="256"/>
        <v/>
      </c>
      <c r="AC572" s="310" t="e">
        <f t="shared" ca="1" si="257"/>
        <v>#N/A</v>
      </c>
      <c r="AD572" s="323" t="e">
        <f t="shared" ca="1" si="258"/>
        <v>#N/A</v>
      </c>
      <c r="AE572" s="324" t="e">
        <f t="shared" ca="1" si="237"/>
        <v>#N/A</v>
      </c>
      <c r="AG572" s="306">
        <f t="shared" ca="1" si="259"/>
        <v>7.566489578432571</v>
      </c>
      <c r="AH572" s="304">
        <f t="shared" ca="1" si="260"/>
        <v>-0.20504684508942903</v>
      </c>
    </row>
    <row r="573" spans="1:34" x14ac:dyDescent="0.2">
      <c r="A573" s="347">
        <f t="shared" ca="1" si="238"/>
        <v>0.1</v>
      </c>
      <c r="B573" s="304">
        <f t="shared" ca="1" si="239"/>
        <v>20.899999999999984</v>
      </c>
      <c r="D573" s="306">
        <f t="shared" ca="1" si="240"/>
        <v>-0.12917759436313545</v>
      </c>
      <c r="E573" s="307">
        <f t="shared" ca="1" si="241"/>
        <v>-9.6333148805437894</v>
      </c>
      <c r="F573" s="304">
        <f t="shared" ca="1" si="242"/>
        <v>9.6341809427990217</v>
      </c>
      <c r="G573" s="306">
        <f t="shared" ca="1" si="243"/>
        <v>14.079328877433955</v>
      </c>
      <c r="H573" s="307">
        <f t="shared" ca="1" si="244"/>
        <v>-20.238270711975854</v>
      </c>
      <c r="I573" s="304">
        <f t="shared" ca="1" si="245"/>
        <v>24.653906446041475</v>
      </c>
      <c r="J573" s="306">
        <f t="shared" ca="1" si="246"/>
        <v>351.7227708737006</v>
      </c>
      <c r="K573" s="307">
        <f t="shared" ca="1" si="247"/>
        <v>1905.508329997974</v>
      </c>
      <c r="L573" s="304">
        <f t="shared" ca="1" si="232"/>
        <v>1937.6973198213236</v>
      </c>
      <c r="M573" s="306">
        <f t="shared" ca="1" si="248"/>
        <v>-0.96297662123696093</v>
      </c>
      <c r="N573" s="304">
        <f t="shared" ca="1" si="249"/>
        <v>-55.174496166645902</v>
      </c>
      <c r="P573" s="310">
        <f t="shared" ca="1" si="250"/>
        <v>23</v>
      </c>
      <c r="Q573" s="304">
        <f t="shared" ca="1" si="251"/>
        <v>0</v>
      </c>
      <c r="R573" s="306">
        <f t="shared" ca="1" si="252"/>
        <v>0</v>
      </c>
      <c r="S573" s="307">
        <f t="shared" ca="1" si="253"/>
        <v>6.1519999999999921</v>
      </c>
      <c r="T573" s="304">
        <f t="shared" ca="1" si="233"/>
        <v>60.351119999999923</v>
      </c>
      <c r="U573" s="311">
        <f t="shared" ca="1" si="234"/>
        <v>0</v>
      </c>
      <c r="V573" s="306">
        <f t="shared" ca="1" si="235"/>
        <v>1.0118802979521877</v>
      </c>
      <c r="W573" s="304">
        <f t="shared" ca="1" si="236"/>
        <v>1.435820802787988</v>
      </c>
      <c r="Y573" s="314" t="str">
        <f t="shared" ca="1" si="254"/>
        <v/>
      </c>
      <c r="Z573" s="315" t="str">
        <f t="shared" ca="1" si="255"/>
        <v/>
      </c>
      <c r="AA573" s="316" t="str">
        <f t="shared" ca="1" si="256"/>
        <v/>
      </c>
      <c r="AC573" s="310" t="e">
        <f t="shared" ca="1" si="257"/>
        <v>#N/A</v>
      </c>
      <c r="AD573" s="323" t="e">
        <f t="shared" ca="1" si="258"/>
        <v>#N/A</v>
      </c>
      <c r="AE573" s="324" t="e">
        <f t="shared" ca="1" si="237"/>
        <v>#N/A</v>
      </c>
      <c r="AG573" s="306">
        <f t="shared" ca="1" si="259"/>
        <v>7.7003216874513267</v>
      </c>
      <c r="AH573" s="304">
        <f t="shared" ca="1" si="260"/>
        <v>-0.2188709261704315</v>
      </c>
    </row>
    <row r="574" spans="1:34" x14ac:dyDescent="0.2">
      <c r="A574" s="347">
        <f t="shared" ca="1" si="238"/>
        <v>0.1</v>
      </c>
      <c r="B574" s="304">
        <f t="shared" ca="1" si="239"/>
        <v>20.999999999999986</v>
      </c>
      <c r="D574" s="306">
        <f t="shared" ca="1" si="240"/>
        <v>-0.1332846465214173</v>
      </c>
      <c r="E574" s="307">
        <f t="shared" ca="1" si="241"/>
        <v>-9.6184105583772634</v>
      </c>
      <c r="F574" s="304">
        <f t="shared" ca="1" si="242"/>
        <v>9.6193339928760953</v>
      </c>
      <c r="G574" s="306">
        <f t="shared" ca="1" si="243"/>
        <v>14.066000412781813</v>
      </c>
      <c r="H574" s="307">
        <f t="shared" ca="1" si="244"/>
        <v>-21.200111767813581</v>
      </c>
      <c r="I574" s="304">
        <f t="shared" ca="1" si="245"/>
        <v>25.442034246108662</v>
      </c>
      <c r="J574" s="306">
        <f t="shared" ca="1" si="246"/>
        <v>353.13003733821137</v>
      </c>
      <c r="K574" s="307">
        <f t="shared" ca="1" si="247"/>
        <v>1903.4364108739844</v>
      </c>
      <c r="L574" s="304">
        <f t="shared" ca="1" si="232"/>
        <v>1935.9160605541042</v>
      </c>
      <c r="M574" s="306">
        <f t="shared" ca="1" si="248"/>
        <v>-0.98499820182308007</v>
      </c>
      <c r="N574" s="304">
        <f t="shared" ca="1" si="249"/>
        <v>-56.43623979243776</v>
      </c>
      <c r="P574" s="310">
        <f t="shared" ca="1" si="250"/>
        <v>23</v>
      </c>
      <c r="Q574" s="304">
        <f t="shared" ca="1" si="251"/>
        <v>0</v>
      </c>
      <c r="R574" s="306">
        <f t="shared" ca="1" si="252"/>
        <v>0</v>
      </c>
      <c r="S574" s="307">
        <f t="shared" ca="1" si="253"/>
        <v>6.1519999999999921</v>
      </c>
      <c r="T574" s="304">
        <f t="shared" ca="1" si="233"/>
        <v>60.351119999999923</v>
      </c>
      <c r="U574" s="311">
        <f t="shared" ca="1" si="234"/>
        <v>0</v>
      </c>
      <c r="V574" s="306">
        <f t="shared" ca="1" si="235"/>
        <v>1.0120918919222146</v>
      </c>
      <c r="W574" s="304">
        <f t="shared" ca="1" si="236"/>
        <v>1.5294075346970726</v>
      </c>
      <c r="Y574" s="314" t="str">
        <f t="shared" ca="1" si="254"/>
        <v/>
      </c>
      <c r="Z574" s="315" t="str">
        <f t="shared" ca="1" si="255"/>
        <v/>
      </c>
      <c r="AA574" s="316" t="str">
        <f t="shared" ca="1" si="256"/>
        <v/>
      </c>
      <c r="AC574" s="310">
        <f t="shared" ca="1" si="257"/>
        <v>20.999999999999986</v>
      </c>
      <c r="AD574" s="323">
        <f t="shared" ca="1" si="258"/>
        <v>353.13003733821137</v>
      </c>
      <c r="AE574" s="324" t="e">
        <f t="shared" ca="1" si="237"/>
        <v>#N/A</v>
      </c>
      <c r="AG574" s="306">
        <f t="shared" ca="1" si="259"/>
        <v>7.8195899196994132</v>
      </c>
      <c r="AH574" s="304">
        <f t="shared" ca="1" si="260"/>
        <v>-0.23339089772236504</v>
      </c>
    </row>
    <row r="575" spans="1:34" x14ac:dyDescent="0.2">
      <c r="A575" s="347">
        <f t="shared" ca="1" si="238"/>
        <v>0.1</v>
      </c>
      <c r="B575" s="304">
        <f t="shared" ca="1" si="239"/>
        <v>21.099999999999987</v>
      </c>
      <c r="D575" s="306">
        <f t="shared" ca="1" si="240"/>
        <v>-0.13744397017417256</v>
      </c>
      <c r="E575" s="307">
        <f t="shared" ca="1" si="241"/>
        <v>-9.6028460511876084</v>
      </c>
      <c r="F575" s="304">
        <f t="shared" ca="1" si="242"/>
        <v>9.6038296073882243</v>
      </c>
      <c r="G575" s="306">
        <f t="shared" ca="1" si="243"/>
        <v>14.052256015764396</v>
      </c>
      <c r="H575" s="307">
        <f t="shared" ca="1" si="244"/>
        <v>-22.160396372932343</v>
      </c>
      <c r="I575" s="304">
        <f t="shared" ca="1" si="245"/>
        <v>26.240218492574705</v>
      </c>
      <c r="J575" s="306">
        <f t="shared" ca="1" si="246"/>
        <v>354.53595015963867</v>
      </c>
      <c r="K575" s="307">
        <f t="shared" ca="1" si="247"/>
        <v>1901.2683854669472</v>
      </c>
      <c r="L575" s="304">
        <f t="shared" ca="1" si="232"/>
        <v>1934.0416783336625</v>
      </c>
      <c r="M575" s="306">
        <f t="shared" ca="1" si="248"/>
        <v>-1.0056687160430924</v>
      </c>
      <c r="N575" s="304">
        <f t="shared" ca="1" si="249"/>
        <v>-57.620573017609615</v>
      </c>
      <c r="P575" s="310">
        <f t="shared" ca="1" si="250"/>
        <v>23</v>
      </c>
      <c r="Q575" s="304">
        <f t="shared" ca="1" si="251"/>
        <v>0</v>
      </c>
      <c r="R575" s="306">
        <f t="shared" ca="1" si="252"/>
        <v>0</v>
      </c>
      <c r="S575" s="307">
        <f t="shared" ca="1" si="253"/>
        <v>6.1519999999999921</v>
      </c>
      <c r="T575" s="304">
        <f t="shared" ca="1" si="233"/>
        <v>60.351119999999923</v>
      </c>
      <c r="U575" s="311">
        <f t="shared" ca="1" si="234"/>
        <v>0</v>
      </c>
      <c r="V575" s="306">
        <f t="shared" ca="1" si="235"/>
        <v>1.0123133435739726</v>
      </c>
      <c r="W575" s="304">
        <f t="shared" ca="1" si="236"/>
        <v>1.6272319743641181</v>
      </c>
      <c r="Y575" s="314" t="str">
        <f t="shared" ca="1" si="254"/>
        <v/>
      </c>
      <c r="Z575" s="315" t="str">
        <f t="shared" ca="1" si="255"/>
        <v/>
      </c>
      <c r="AA575" s="316" t="str">
        <f t="shared" ca="1" si="256"/>
        <v/>
      </c>
      <c r="AC575" s="310" t="e">
        <f t="shared" ca="1" si="257"/>
        <v>#N/A</v>
      </c>
      <c r="AD575" s="323" t="e">
        <f t="shared" ca="1" si="258"/>
        <v>#N/A</v>
      </c>
      <c r="AE575" s="324" t="e">
        <f t="shared" ca="1" si="237"/>
        <v>#N/A</v>
      </c>
      <c r="AG575" s="306">
        <f t="shared" ca="1" si="259"/>
        <v>7.9257861491135371</v>
      </c>
      <c r="AH575" s="304">
        <f t="shared" ca="1" si="260"/>
        <v>-0.24860330537988859</v>
      </c>
    </row>
    <row r="576" spans="1:34" x14ac:dyDescent="0.2">
      <c r="A576" s="347">
        <f t="shared" ca="1" si="238"/>
        <v>0.1</v>
      </c>
      <c r="B576" s="304">
        <f t="shared" ca="1" si="239"/>
        <v>21.199999999999989</v>
      </c>
      <c r="D576" s="306">
        <f t="shared" ca="1" si="240"/>
        <v>-0.14164842474983727</v>
      </c>
      <c r="E576" s="307">
        <f t="shared" ca="1" si="241"/>
        <v>-9.5866205487192637</v>
      </c>
      <c r="F576" s="304">
        <f t="shared" ca="1" si="242"/>
        <v>9.5876669644580659</v>
      </c>
      <c r="G576" s="306">
        <f t="shared" ca="1" si="243"/>
        <v>14.038091173289413</v>
      </c>
      <c r="H576" s="307">
        <f t="shared" ca="1" si="244"/>
        <v>-23.119058427804269</v>
      </c>
      <c r="I576" s="304">
        <f t="shared" ca="1" si="245"/>
        <v>27.047344904404458</v>
      </c>
      <c r="J576" s="306">
        <f t="shared" ca="1" si="246"/>
        <v>355.94046751909138</v>
      </c>
      <c r="K576" s="307">
        <f t="shared" ca="1" si="247"/>
        <v>1899.0044127269102</v>
      </c>
      <c r="L576" s="304">
        <f t="shared" ca="1" si="232"/>
        <v>1932.0743712326362</v>
      </c>
      <c r="M576" s="306">
        <f t="shared" ca="1" si="248"/>
        <v>-1.0250932356051921</v>
      </c>
      <c r="N576" s="304">
        <f t="shared" ca="1" si="249"/>
        <v>-58.733516007587234</v>
      </c>
      <c r="P576" s="310">
        <f t="shared" ca="1" si="250"/>
        <v>23</v>
      </c>
      <c r="Q576" s="304">
        <f t="shared" ca="1" si="251"/>
        <v>0</v>
      </c>
      <c r="R576" s="306">
        <f t="shared" ca="1" si="252"/>
        <v>0</v>
      </c>
      <c r="S576" s="307">
        <f t="shared" ca="1" si="253"/>
        <v>6.1519999999999921</v>
      </c>
      <c r="T576" s="304">
        <f t="shared" ca="1" si="233"/>
        <v>60.351119999999923</v>
      </c>
      <c r="U576" s="311">
        <f t="shared" ca="1" si="234"/>
        <v>0</v>
      </c>
      <c r="V576" s="306">
        <f t="shared" ca="1" si="235"/>
        <v>1.0125446425100024</v>
      </c>
      <c r="W576" s="304">
        <f t="shared" ca="1" si="236"/>
        <v>1.7292710558661279</v>
      </c>
      <c r="Y576" s="314" t="str">
        <f t="shared" ca="1" si="254"/>
        <v/>
      </c>
      <c r="Z576" s="315" t="str">
        <f t="shared" ca="1" si="255"/>
        <v/>
      </c>
      <c r="AA576" s="316" t="str">
        <f t="shared" ca="1" si="256"/>
        <v/>
      </c>
      <c r="AC576" s="310" t="e">
        <f t="shared" ca="1" si="257"/>
        <v>#N/A</v>
      </c>
      <c r="AD576" s="323" t="e">
        <f t="shared" ca="1" si="258"/>
        <v>#N/A</v>
      </c>
      <c r="AE576" s="324" t="e">
        <f t="shared" ca="1" si="237"/>
        <v>#N/A</v>
      </c>
      <c r="AG576" s="306">
        <f t="shared" ca="1" si="259"/>
        <v>8.0202392890613794</v>
      </c>
      <c r="AH576" s="304">
        <f t="shared" ca="1" si="260"/>
        <v>-0.26450454719832905</v>
      </c>
    </row>
    <row r="577" spans="1:34" x14ac:dyDescent="0.2">
      <c r="A577" s="347">
        <f t="shared" ca="1" si="238"/>
        <v>0.1</v>
      </c>
      <c r="B577" s="304">
        <f t="shared" ca="1" si="239"/>
        <v>21.29999999999999</v>
      </c>
      <c r="D577" s="306">
        <f t="shared" ca="1" si="240"/>
        <v>-0.14589155900136169</v>
      </c>
      <c r="E577" s="307">
        <f t="shared" ca="1" si="241"/>
        <v>-9.5697340382648619</v>
      </c>
      <c r="F577" s="304">
        <f t="shared" ca="1" si="242"/>
        <v>9.5708460394111938</v>
      </c>
      <c r="G577" s="306">
        <f t="shared" ca="1" si="243"/>
        <v>14.023502017389276</v>
      </c>
      <c r="H577" s="307">
        <f t="shared" ca="1" si="244"/>
        <v>-24.076031831630754</v>
      </c>
      <c r="I577" s="304">
        <f t="shared" ca="1" si="245"/>
        <v>27.862410477010393</v>
      </c>
      <c r="J577" s="306">
        <f t="shared" ca="1" si="246"/>
        <v>357.34354717862533</v>
      </c>
      <c r="K577" s="307">
        <f t="shared" ca="1" si="247"/>
        <v>1896.6446582139386</v>
      </c>
      <c r="L577" s="304">
        <f t="shared" ca="1" si="232"/>
        <v>1930.0143445688871</v>
      </c>
      <c r="M577" s="306">
        <f t="shared" ca="1" si="248"/>
        <v>-1.0433682578874881</v>
      </c>
      <c r="N577" s="304">
        <f t="shared" ca="1" si="249"/>
        <v>-59.780597654870334</v>
      </c>
      <c r="P577" s="310">
        <f t="shared" ca="1" si="250"/>
        <v>23</v>
      </c>
      <c r="Q577" s="304">
        <f t="shared" ca="1" si="251"/>
        <v>0</v>
      </c>
      <c r="R577" s="306">
        <f t="shared" ca="1" si="252"/>
        <v>0</v>
      </c>
      <c r="S577" s="307">
        <f t="shared" ca="1" si="253"/>
        <v>6.1519999999999921</v>
      </c>
      <c r="T577" s="304">
        <f t="shared" ca="1" si="233"/>
        <v>60.351119999999923</v>
      </c>
      <c r="U577" s="311">
        <f t="shared" ca="1" si="234"/>
        <v>0</v>
      </c>
      <c r="V577" s="306">
        <f t="shared" ca="1" si="235"/>
        <v>1.0127857779054275</v>
      </c>
      <c r="W577" s="304">
        <f t="shared" ca="1" si="236"/>
        <v>1.8355008093636993</v>
      </c>
      <c r="Y577" s="314" t="str">
        <f t="shared" ca="1" si="254"/>
        <v/>
      </c>
      <c r="Z577" s="315" t="str">
        <f t="shared" ca="1" si="255"/>
        <v/>
      </c>
      <c r="AA577" s="316" t="str">
        <f t="shared" ca="1" si="256"/>
        <v/>
      </c>
      <c r="AC577" s="310" t="e">
        <f t="shared" ca="1" si="257"/>
        <v>#N/A</v>
      </c>
      <c r="AD577" s="323" t="e">
        <f t="shared" ca="1" si="258"/>
        <v>#N/A</v>
      </c>
      <c r="AE577" s="324" t="e">
        <f t="shared" ca="1" si="237"/>
        <v>#N/A</v>
      </c>
      <c r="AG577" s="306">
        <f t="shared" ca="1" si="259"/>
        <v>8.1041300777298826</v>
      </c>
      <c r="AH577" s="304">
        <f t="shared" ca="1" si="260"/>
        <v>-0.28109087384039827</v>
      </c>
    </row>
    <row r="578" spans="1:34" x14ac:dyDescent="0.2">
      <c r="A578" s="347">
        <f t="shared" ca="1" si="238"/>
        <v>0.1</v>
      </c>
      <c r="B578" s="304">
        <f t="shared" ca="1" si="239"/>
        <v>21.399999999999991</v>
      </c>
      <c r="D578" s="306">
        <f t="shared" ca="1" si="240"/>
        <v>-0.15016753392661741</v>
      </c>
      <c r="E578" s="307">
        <f t="shared" ca="1" si="241"/>
        <v>-9.5521871995731491</v>
      </c>
      <c r="F578" s="304">
        <f t="shared" ca="1" si="242"/>
        <v>9.5533674996796147</v>
      </c>
      <c r="G578" s="306">
        <f t="shared" ca="1" si="243"/>
        <v>14.008485263996615</v>
      </c>
      <c r="H578" s="307">
        <f t="shared" ca="1" si="244"/>
        <v>-25.031250551588069</v>
      </c>
      <c r="I578" s="304">
        <f t="shared" ca="1" si="245"/>
        <v>28.68451086506424</v>
      </c>
      <c r="J578" s="306">
        <f t="shared" ca="1" si="246"/>
        <v>358.74514654269461</v>
      </c>
      <c r="K578" s="307">
        <f t="shared" ca="1" si="247"/>
        <v>1894.1892940947776</v>
      </c>
      <c r="L578" s="304">
        <f t="shared" ca="1" si="232"/>
        <v>1927.8618109271242</v>
      </c>
      <c r="M578" s="306">
        <f t="shared" ca="1" si="248"/>
        <v>-1.0605822184088489</v>
      </c>
      <c r="N578" s="304">
        <f t="shared" ca="1" si="249"/>
        <v>-60.766884941449128</v>
      </c>
      <c r="P578" s="310">
        <f t="shared" ca="1" si="250"/>
        <v>23</v>
      </c>
      <c r="Q578" s="304">
        <f t="shared" ca="1" si="251"/>
        <v>0</v>
      </c>
      <c r="R578" s="306">
        <f t="shared" ca="1" si="252"/>
        <v>0</v>
      </c>
      <c r="S578" s="307">
        <f t="shared" ca="1" si="253"/>
        <v>6.1519999999999921</v>
      </c>
      <c r="T578" s="304">
        <f t="shared" ca="1" si="233"/>
        <v>60.351119999999923</v>
      </c>
      <c r="U578" s="311">
        <f t="shared" ca="1" si="234"/>
        <v>0</v>
      </c>
      <c r="V578" s="306">
        <f t="shared" ca="1" si="235"/>
        <v>1.0130367385065091</v>
      </c>
      <c r="W578" s="304">
        <f t="shared" ca="1" si="236"/>
        <v>1.945896365424858</v>
      </c>
      <c r="Y578" s="314" t="str">
        <f t="shared" ca="1" si="254"/>
        <v/>
      </c>
      <c r="Z578" s="315" t="str">
        <f t="shared" ca="1" si="255"/>
        <v/>
      </c>
      <c r="AA578" s="316" t="str">
        <f t="shared" ca="1" si="256"/>
        <v/>
      </c>
      <c r="AC578" s="310" t="e">
        <f t="shared" ca="1" si="257"/>
        <v>#N/A</v>
      </c>
      <c r="AD578" s="323" t="e">
        <f t="shared" ca="1" si="258"/>
        <v>#N/A</v>
      </c>
      <c r="AE578" s="324" t="e">
        <f t="shared" ca="1" si="237"/>
        <v>#N/A</v>
      </c>
      <c r="AG578" s="306">
        <f t="shared" ca="1" si="259"/>
        <v>8.1785058960233652</v>
      </c>
      <c r="AH578" s="304">
        <f t="shared" ca="1" si="260"/>
        <v>-0.29835838903831302</v>
      </c>
    </row>
    <row r="579" spans="1:34" x14ac:dyDescent="0.2">
      <c r="A579" s="347">
        <f t="shared" ca="1" si="238"/>
        <v>0.1</v>
      </c>
      <c r="B579" s="304">
        <f t="shared" ca="1" si="239"/>
        <v>21.499999999999993</v>
      </c>
      <c r="D579" s="306">
        <f t="shared" ca="1" si="240"/>
        <v>-0.15447105372935147</v>
      </c>
      <c r="E579" s="307">
        <f t="shared" ca="1" si="241"/>
        <v>-9.533981317323093</v>
      </c>
      <c r="F579" s="304">
        <f t="shared" ca="1" si="242"/>
        <v>9.5352326172729551</v>
      </c>
      <c r="G579" s="306">
        <f t="shared" ca="1" si="243"/>
        <v>13.99303815862368</v>
      </c>
      <c r="H579" s="307">
        <f t="shared" ca="1" si="244"/>
        <v>-25.98464868332038</v>
      </c>
      <c r="I579" s="304">
        <f t="shared" ca="1" si="245"/>
        <v>29.512829144361639</v>
      </c>
      <c r="J579" s="306">
        <f t="shared" ca="1" si="246"/>
        <v>360.1452227138256</v>
      </c>
      <c r="K579" s="307">
        <f t="shared" ca="1" si="247"/>
        <v>1891.6384991330322</v>
      </c>
      <c r="L579" s="304">
        <f t="shared" ca="1" si="232"/>
        <v>1925.6169901737628</v>
      </c>
      <c r="M579" s="306">
        <f t="shared" ca="1" si="248"/>
        <v>-1.0768160474617545</v>
      </c>
      <c r="N579" s="304">
        <f t="shared" ca="1" si="249"/>
        <v>-61.697014831517478</v>
      </c>
      <c r="P579" s="310">
        <f t="shared" ca="1" si="250"/>
        <v>23</v>
      </c>
      <c r="Q579" s="304">
        <f t="shared" ca="1" si="251"/>
        <v>0</v>
      </c>
      <c r="R579" s="306">
        <f t="shared" ca="1" si="252"/>
        <v>0</v>
      </c>
      <c r="S579" s="307">
        <f t="shared" ca="1" si="253"/>
        <v>6.1519999999999921</v>
      </c>
      <c r="T579" s="304">
        <f t="shared" ca="1" si="233"/>
        <v>60.351119999999923</v>
      </c>
      <c r="U579" s="311">
        <f t="shared" ca="1" si="234"/>
        <v>0</v>
      </c>
      <c r="V579" s="306">
        <f t="shared" ca="1" si="235"/>
        <v>1.0132975126297896</v>
      </c>
      <c r="W579" s="304">
        <f t="shared" ca="1" si="236"/>
        <v>2.0604319606511656</v>
      </c>
      <c r="Y579" s="314" t="str">
        <f t="shared" ca="1" si="254"/>
        <v/>
      </c>
      <c r="Z579" s="315" t="str">
        <f t="shared" ca="1" si="255"/>
        <v/>
      </c>
      <c r="AA579" s="316" t="str">
        <f t="shared" ca="1" si="256"/>
        <v/>
      </c>
      <c r="AC579" s="310" t="e">
        <f t="shared" ca="1" si="257"/>
        <v>#N/A</v>
      </c>
      <c r="AD579" s="323" t="e">
        <f t="shared" ca="1" si="258"/>
        <v>#N/A</v>
      </c>
      <c r="AE579" s="324" t="e">
        <f t="shared" ca="1" si="237"/>
        <v>#N/A</v>
      </c>
      <c r="AG579" s="306">
        <f t="shared" ca="1" si="259"/>
        <v>8.2442950043890448</v>
      </c>
      <c r="AH579" s="304">
        <f t="shared" ca="1" si="260"/>
        <v>-0.31630305029662881</v>
      </c>
    </row>
    <row r="580" spans="1:34" x14ac:dyDescent="0.2">
      <c r="A580" s="347">
        <f t="shared" ca="1" si="238"/>
        <v>0.1</v>
      </c>
      <c r="B580" s="304">
        <f t="shared" ca="1" si="239"/>
        <v>21.599999999999994</v>
      </c>
      <c r="D580" s="306">
        <f t="shared" ca="1" si="240"/>
        <v>-0.15879730437883507</v>
      </c>
      <c r="E580" s="307">
        <f t="shared" ca="1" si="241"/>
        <v>-9.5151182081141297</v>
      </c>
      <c r="F580" s="304">
        <f t="shared" ca="1" si="242"/>
        <v>9.516443195767156</v>
      </c>
      <c r="G580" s="306">
        <f t="shared" ca="1" si="243"/>
        <v>13.977158428185795</v>
      </c>
      <c r="H580" s="307">
        <f t="shared" ca="1" si="244"/>
        <v>-26.936160504131792</v>
      </c>
      <c r="I580" s="304">
        <f t="shared" ca="1" si="245"/>
        <v>30.346625849193757</v>
      </c>
      <c r="J580" s="306">
        <f t="shared" ca="1" si="246"/>
        <v>361.54373254316607</v>
      </c>
      <c r="K580" s="307">
        <f t="shared" ca="1" si="247"/>
        <v>1888.9924586736595</v>
      </c>
      <c r="L580" s="304">
        <f t="shared" ref="L580:L643" ca="1" si="261">SQRT(pos_x^2+pos_z^2)</f>
        <v>1923.2801094659096</v>
      </c>
      <c r="M580" s="306">
        <f t="shared" ca="1" si="248"/>
        <v>-1.0921437399058094</v>
      </c>
      <c r="N580" s="304">
        <f t="shared" ca="1" si="249"/>
        <v>-62.575226918236382</v>
      </c>
      <c r="P580" s="310">
        <f t="shared" ca="1" si="250"/>
        <v>23</v>
      </c>
      <c r="Q580" s="304">
        <f t="shared" ca="1" si="251"/>
        <v>0</v>
      </c>
      <c r="R580" s="306">
        <f t="shared" ca="1" si="252"/>
        <v>0</v>
      </c>
      <c r="S580" s="307">
        <f t="shared" ca="1" si="253"/>
        <v>6.1519999999999921</v>
      </c>
      <c r="T580" s="304">
        <f t="shared" ref="T580:T643" ca="1" si="262">m*g</f>
        <v>60.351119999999923</v>
      </c>
      <c r="U580" s="311">
        <f t="shared" ref="U580:U643" ca="1" si="263">IF(pos_xz&lt;L_rampe,Poids*COS(Beta),0)</f>
        <v>0</v>
      </c>
      <c r="V580" s="306">
        <f t="shared" ref="V580:V643" ca="1" si="264">Rho_moyen*(20000-Alt_rampe-pos_z)/(20000+Alt_rampe+pos_z)</f>
        <v>1.0135680881617475</v>
      </c>
      <c r="W580" s="304">
        <f t="shared" ref="W580:W643" ca="1" si="265">1/2*Rho*Sref*Cx*vit_xz^2</f>
        <v>2.1790809444564059</v>
      </c>
      <c r="Y580" s="314" t="str">
        <f t="shared" ca="1" si="254"/>
        <v/>
      </c>
      <c r="Z580" s="315" t="str">
        <f t="shared" ca="1" si="255"/>
        <v/>
      </c>
      <c r="AA580" s="316" t="str">
        <f t="shared" ca="1" si="256"/>
        <v/>
      </c>
      <c r="AC580" s="310" t="e">
        <f t="shared" ca="1" si="257"/>
        <v>#N/A</v>
      </c>
      <c r="AD580" s="323" t="e">
        <f t="shared" ca="1" si="258"/>
        <v>#N/A</v>
      </c>
      <c r="AE580" s="324" t="e">
        <f t="shared" ref="AE580:AE643" ca="1" si="266">IF(t&lt;T_para, pos_z, NA())</f>
        <v>#N/A</v>
      </c>
      <c r="AG580" s="306">
        <f t="shared" ca="1" si="259"/>
        <v>8.3023198446992144</v>
      </c>
      <c r="AH580" s="304">
        <f t="shared" ca="1" si="260"/>
        <v>-0.33492066980675689</v>
      </c>
    </row>
    <row r="581" spans="1:34" x14ac:dyDescent="0.2">
      <c r="A581" s="347">
        <f t="shared" ref="A581:A644" ca="1" si="267">IF(B580+0.01&lt;=T_ini+ROUNDUP(Temps_fin_propu,0), 0.01, IF(K580&gt;0, 0.1, 0.0001))</f>
        <v>0.1</v>
      </c>
      <c r="B581" s="304">
        <f t="shared" ref="B581:B644" ca="1" si="268">B580+pas</f>
        <v>21.699999999999996</v>
      </c>
      <c r="D581" s="306">
        <f t="shared" ref="D581:D644" ca="1" si="269">IF(AND(L580&lt;L_rampe,Poussee&lt;Poids*SIN(M580)),0,(-W580+Poussee)/m*COS(M580)-U580/m*SIN(M580))</f>
        <v>-0.16314189918799718</v>
      </c>
      <c r="E581" s="307">
        <f t="shared" ref="E581:E644" ca="1" si="270">IF(AND(L580&lt;L_rampe,Poussee&lt;Poids*SIN(M580)),0,(-W580+Poussee)/m*SIN(M580)+U580/m*COS(M580)-Poids/m)</f>
        <v>-9.4956001594276014</v>
      </c>
      <c r="F581" s="304">
        <f t="shared" ref="F581:F644" ca="1" si="271">SQRT(acc_x^2+acc_z^2)</f>
        <v>9.4970015092655515</v>
      </c>
      <c r="G581" s="306">
        <f t="shared" ref="G581:G644" ca="1" si="272">G580+acc_x*pas</f>
        <v>13.960844238266995</v>
      </c>
      <c r="H581" s="307">
        <f t="shared" ref="H581:H644" ca="1" si="273">H580+acc_z*pas</f>
        <v>-27.885720520074553</v>
      </c>
      <c r="I581" s="304">
        <f t="shared" ref="I581:I644" ca="1" si="274">SQRT(vit_x^2+vit_z^2)</f>
        <v>31.185230170208136</v>
      </c>
      <c r="J581" s="306">
        <f t="shared" ref="J581:J644" ca="1" si="275">J580+0.5*(vit_x+G580)*pas*(K580&gt;=0)</f>
        <v>362.94063267648869</v>
      </c>
      <c r="K581" s="307">
        <f t="shared" ref="K581:K644" ca="1" si="276">K580+0.5*(vit_z+H580)*pas</f>
        <v>1886.2513646224493</v>
      </c>
      <c r="L581" s="304">
        <f t="shared" ca="1" si="261"/>
        <v>1920.8514032552498</v>
      </c>
      <c r="M581" s="306">
        <f t="shared" ref="M581:M644" ca="1" si="277">IF(AND(L580&gt;L_rampe,G581&gt;0),ATAN2(G581,H581),$M$4)</f>
        <v>-1.106632917212967</v>
      </c>
      <c r="N581" s="304">
        <f t="shared" ref="N581:N644" ca="1" si="278">DEGREES(Beta)</f>
        <v>-63.405395626553236</v>
      </c>
      <c r="P581" s="310">
        <f t="shared" ref="P581:P644" ca="1" si="279">MATCH(t-pas/2-T_ini,CdP_t)</f>
        <v>23</v>
      </c>
      <c r="Q581" s="304">
        <f t="shared" ref="Q581:Q644" ca="1" si="280">(INDEX(CdP,2,i_P+1)-INDEX(CdP,2,i_P+0))/(INDEX(CdP,1,i_P+1)-INDEX(CdP,1,i_P+0))*(t-pas/2-T_ini-INDEX(CdP,1,i_P+0))+INDEX(CdP,2,i_P+0)</f>
        <v>0</v>
      </c>
      <c r="R581" s="306">
        <f t="shared" ref="R581:R644" ca="1" si="281">Poussee/(g*ISP)</f>
        <v>0</v>
      </c>
      <c r="S581" s="307">
        <f t="shared" ref="S581:S644" ca="1" si="282">S580-Débit*pas</f>
        <v>6.1519999999999921</v>
      </c>
      <c r="T581" s="304">
        <f t="shared" ca="1" si="262"/>
        <v>60.351119999999923</v>
      </c>
      <c r="U581" s="311">
        <f t="shared" ca="1" si="263"/>
        <v>0</v>
      </c>
      <c r="V581" s="306">
        <f t="shared" ca="1" si="264"/>
        <v>1.0138484525588962</v>
      </c>
      <c r="W581" s="304">
        <f t="shared" ca="1" si="265"/>
        <v>2.3018157868718334</v>
      </c>
      <c r="Y581" s="314" t="str">
        <f t="shared" ref="Y581:Y644" ca="1" si="283">IF(AND(pos_z&lt;=0,K580&gt;0),"Impact balistique","") &amp; IF(AND(H582&lt;0,vit_z&gt;=0),"Apogée","") &amp; IF(AND(Poussee=0,Q580&gt;0),"Fin de propulsion","") &amp; IF(AND(L582&gt;L_rampe,pos_xz&lt;=L_rampe),"Sortie de rampe","")</f>
        <v/>
      </c>
      <c r="Z581" s="315" t="str">
        <f t="shared" ref="Z581:Z644" ca="1" si="284">IF(ABS(t-T_para)&lt;pas/2,"Para","")</f>
        <v/>
      </c>
      <c r="AA581" s="316" t="str">
        <f t="shared" ref="AA581:AA644" ca="1" si="285">IF(ABS(t-T_satellite)&lt;pas/2,"Satellite","")</f>
        <v/>
      </c>
      <c r="AC581" s="310" t="e">
        <f t="shared" ref="AC581:AC644" ca="1" si="286">IF(ABS(t-ROUND(t,0))&lt;0.001,t,NA())</f>
        <v>#N/A</v>
      </c>
      <c r="AD581" s="323" t="e">
        <f t="shared" ref="AD581:AD644" ca="1" si="287">IF(ABS(t-ROUND(t,0))&lt;0.001,pos_x,NA())</f>
        <v>#N/A</v>
      </c>
      <c r="AE581" s="324" t="e">
        <f t="shared" ca="1" si="266"/>
        <v>#N/A</v>
      </c>
      <c r="AG581" s="306">
        <f t="shared" ref="AG581:AG644" ca="1" si="288">IF(AND(L580&lt;L_rampe,Poussee&lt;Poids*SIN(M580)),0,(-W580+Poussee)/m-Poids*SIN(M580)/m)</f>
        <v>8.3533092300246725</v>
      </c>
      <c r="AH581" s="304">
        <f t="shared" ref="AH581:AH644" ca="1" si="289">IF(AND(L580&lt;L_rampe,Poussee&lt;Poids*SIN(M580)), g*SIN(M580), (-W580+Poussee)/m)</f>
        <v>-0.35420691554883105</v>
      </c>
    </row>
    <row r="582" spans="1:34" x14ac:dyDescent="0.2">
      <c r="A582" s="347">
        <f t="shared" ca="1" si="267"/>
        <v>0.1</v>
      </c>
      <c r="B582" s="304">
        <f t="shared" ca="1" si="268"/>
        <v>21.799999999999997</v>
      </c>
      <c r="D582" s="306">
        <f t="shared" ca="1" si="269"/>
        <v>-0.16750083077004402</v>
      </c>
      <c r="E582" s="307">
        <f t="shared" ca="1" si="270"/>
        <v>-9.4754298784502762</v>
      </c>
      <c r="F582" s="304">
        <f t="shared" ca="1" si="271"/>
        <v>9.4769102512230674</v>
      </c>
      <c r="G582" s="306">
        <f t="shared" ca="1" si="272"/>
        <v>13.94409415518999</v>
      </c>
      <c r="H582" s="307">
        <f t="shared" ca="1" si="273"/>
        <v>-28.833263507919582</v>
      </c>
      <c r="I582" s="304">
        <f t="shared" ca="1" si="274"/>
        <v>32.028032195655278</v>
      </c>
      <c r="J582" s="306">
        <f t="shared" ca="1" si="275"/>
        <v>364.33587959616153</v>
      </c>
      <c r="K582" s="307">
        <f t="shared" ca="1" si="276"/>
        <v>1883.4154154210496</v>
      </c>
      <c r="L582" s="304">
        <f t="shared" ca="1" si="261"/>
        <v>1918.3311132874724</v>
      </c>
      <c r="M582" s="306">
        <f t="shared" ca="1" si="277"/>
        <v>-1.1203453682257611</v>
      </c>
      <c r="N582" s="304">
        <f t="shared" ca="1" si="278"/>
        <v>-64.191061196366235</v>
      </c>
      <c r="P582" s="310">
        <f t="shared" ca="1" si="279"/>
        <v>23</v>
      </c>
      <c r="Q582" s="304">
        <f t="shared" ca="1" si="280"/>
        <v>0</v>
      </c>
      <c r="R582" s="306">
        <f t="shared" ca="1" si="281"/>
        <v>0</v>
      </c>
      <c r="S582" s="307">
        <f t="shared" ca="1" si="282"/>
        <v>6.1519999999999921</v>
      </c>
      <c r="T582" s="304">
        <f t="shared" ca="1" si="262"/>
        <v>60.351119999999923</v>
      </c>
      <c r="U582" s="311">
        <f t="shared" ca="1" si="263"/>
        <v>0</v>
      </c>
      <c r="V582" s="306">
        <f t="shared" ca="1" si="264"/>
        <v>1.0141385928482689</v>
      </c>
      <c r="W582" s="304">
        <f t="shared" ca="1" si="265"/>
        <v>2.4286080872716105</v>
      </c>
      <c r="Y582" s="314" t="str">
        <f t="shared" ca="1" si="283"/>
        <v/>
      </c>
      <c r="Z582" s="315" t="str">
        <f t="shared" ca="1" si="284"/>
        <v/>
      </c>
      <c r="AA582" s="316" t="str">
        <f t="shared" ca="1" si="285"/>
        <v/>
      </c>
      <c r="AC582" s="310" t="e">
        <f t="shared" ca="1" si="286"/>
        <v>#N/A</v>
      </c>
      <c r="AD582" s="323" t="e">
        <f t="shared" ca="1" si="287"/>
        <v>#N/A</v>
      </c>
      <c r="AE582" s="324" t="e">
        <f t="shared" ca="1" si="266"/>
        <v>#N/A</v>
      </c>
      <c r="AG582" s="306">
        <f t="shared" ca="1" si="288"/>
        <v>8.3979093615944134</v>
      </c>
      <c r="AH582" s="304">
        <f t="shared" ca="1" si="289"/>
        <v>-0.37415731256044155</v>
      </c>
    </row>
    <row r="583" spans="1:34" x14ac:dyDescent="0.2">
      <c r="A583" s="347">
        <f t="shared" ca="1" si="267"/>
        <v>0.1</v>
      </c>
      <c r="B583" s="304">
        <f t="shared" ca="1" si="268"/>
        <v>21.9</v>
      </c>
      <c r="D583" s="306">
        <f t="shared" ca="1" si="269"/>
        <v>-0.17187042872452707</v>
      </c>
      <c r="E583" s="307">
        <f t="shared" ca="1" si="270"/>
        <v>-9.4546104490201728</v>
      </c>
      <c r="F583" s="304">
        <f t="shared" ca="1" si="271"/>
        <v>9.4561724913937244</v>
      </c>
      <c r="G583" s="306">
        <f t="shared" ca="1" si="272"/>
        <v>13.926907112317538</v>
      </c>
      <c r="H583" s="307">
        <f t="shared" ca="1" si="273"/>
        <v>-29.7787245528216</v>
      </c>
      <c r="I583" s="304">
        <f t="shared" ca="1" si="274"/>
        <v>32.874476082638047</v>
      </c>
      <c r="J583" s="306">
        <f t="shared" ca="1" si="275"/>
        <v>365.72942965953689</v>
      </c>
      <c r="K583" s="307">
        <f t="shared" ca="1" si="276"/>
        <v>1880.4848160180125</v>
      </c>
      <c r="L583" s="304">
        <f t="shared" ca="1" si="261"/>
        <v>1915.7194885977926</v>
      </c>
      <c r="M583" s="306">
        <f t="shared" ca="1" si="277"/>
        <v>-1.1333375603860942</v>
      </c>
      <c r="N583" s="304">
        <f t="shared" ca="1" si="278"/>
        <v>-64.935458973776278</v>
      </c>
      <c r="P583" s="310">
        <f t="shared" ca="1" si="279"/>
        <v>23</v>
      </c>
      <c r="Q583" s="304">
        <f t="shared" ca="1" si="280"/>
        <v>0</v>
      </c>
      <c r="R583" s="306">
        <f t="shared" ca="1" si="281"/>
        <v>0</v>
      </c>
      <c r="S583" s="307">
        <f t="shared" ca="1" si="282"/>
        <v>6.1519999999999921</v>
      </c>
      <c r="T583" s="304">
        <f t="shared" ca="1" si="262"/>
        <v>60.351119999999923</v>
      </c>
      <c r="U583" s="311">
        <f t="shared" ca="1" si="263"/>
        <v>0</v>
      </c>
      <c r="V583" s="306">
        <f t="shared" ca="1" si="264"/>
        <v>1.0144384956282437</v>
      </c>
      <c r="W583" s="304">
        <f t="shared" ca="1" si="265"/>
        <v>2.5594285839280828</v>
      </c>
      <c r="Y583" s="314" t="str">
        <f t="shared" ca="1" si="283"/>
        <v/>
      </c>
      <c r="Z583" s="315" t="str">
        <f t="shared" ca="1" si="284"/>
        <v/>
      </c>
      <c r="AA583" s="316" t="str">
        <f t="shared" ca="1" si="285"/>
        <v/>
      </c>
      <c r="AC583" s="310" t="e">
        <f t="shared" ca="1" si="286"/>
        <v>#N/A</v>
      </c>
      <c r="AD583" s="323" t="e">
        <f t="shared" ca="1" si="287"/>
        <v>#N/A</v>
      </c>
      <c r="AE583" s="324" t="e">
        <f t="shared" ca="1" si="266"/>
        <v>#N/A</v>
      </c>
      <c r="AG583" s="306">
        <f t="shared" ca="1" si="288"/>
        <v>8.4366936860190886</v>
      </c>
      <c r="AH583" s="304">
        <f t="shared" ca="1" si="289"/>
        <v>-0.3947672443549437</v>
      </c>
    </row>
    <row r="584" spans="1:34" x14ac:dyDescent="0.2">
      <c r="A584" s="347">
        <f t="shared" ca="1" si="267"/>
        <v>0.1</v>
      </c>
      <c r="B584" s="304">
        <f t="shared" ca="1" si="268"/>
        <v>22</v>
      </c>
      <c r="D584" s="306">
        <f t="shared" ca="1" si="269"/>
        <v>-0.17624732242605862</v>
      </c>
      <c r="E584" s="307">
        <f t="shared" ca="1" si="270"/>
        <v>-9.4331452952640138</v>
      </c>
      <c r="F584" s="304">
        <f t="shared" ca="1" si="271"/>
        <v>9.4347916394705802</v>
      </c>
      <c r="G584" s="306">
        <f t="shared" ca="1" si="272"/>
        <v>13.909282380074933</v>
      </c>
      <c r="H584" s="307">
        <f t="shared" ca="1" si="273"/>
        <v>-30.722039082348001</v>
      </c>
      <c r="I584" s="304">
        <f t="shared" ca="1" si="274"/>
        <v>33.724054052055799</v>
      </c>
      <c r="J584" s="306">
        <f t="shared" ca="1" si="275"/>
        <v>367.1212391341565</v>
      </c>
      <c r="K584" s="307">
        <f t="shared" ca="1" si="276"/>
        <v>1877.459777836254</v>
      </c>
      <c r="L584" s="304">
        <f t="shared" ca="1" si="261"/>
        <v>1913.0167855030322</v>
      </c>
      <c r="M584" s="306">
        <f t="shared" ca="1" si="277"/>
        <v>-1.1456611169335789</v>
      </c>
      <c r="N584" s="304">
        <f t="shared" ca="1" si="278"/>
        <v>-65.641546752537963</v>
      </c>
      <c r="P584" s="310">
        <f t="shared" ca="1" si="279"/>
        <v>23</v>
      </c>
      <c r="Q584" s="304">
        <f t="shared" ca="1" si="280"/>
        <v>0</v>
      </c>
      <c r="R584" s="306">
        <f t="shared" ca="1" si="281"/>
        <v>0</v>
      </c>
      <c r="S584" s="307">
        <f t="shared" ca="1" si="282"/>
        <v>6.1519999999999921</v>
      </c>
      <c r="T584" s="304">
        <f t="shared" ca="1" si="262"/>
        <v>60.351119999999923</v>
      </c>
      <c r="U584" s="311">
        <f t="shared" ca="1" si="263"/>
        <v>0</v>
      </c>
      <c r="V584" s="306">
        <f t="shared" ca="1" si="264"/>
        <v>1.0147481470696709</v>
      </c>
      <c r="W584" s="304">
        <f t="shared" ca="1" si="265"/>
        <v>2.6942471643198509</v>
      </c>
      <c r="Y584" s="314" t="str">
        <f t="shared" ca="1" si="283"/>
        <v/>
      </c>
      <c r="Z584" s="315" t="str">
        <f t="shared" ca="1" si="284"/>
        <v/>
      </c>
      <c r="AA584" s="316" t="str">
        <f t="shared" ca="1" si="285"/>
        <v/>
      </c>
      <c r="AC584" s="310">
        <f t="shared" ca="1" si="286"/>
        <v>22</v>
      </c>
      <c r="AD584" s="323">
        <f t="shared" ca="1" si="287"/>
        <v>367.1212391341565</v>
      </c>
      <c r="AE584" s="324" t="e">
        <f t="shared" ca="1" si="266"/>
        <v>#N/A</v>
      </c>
      <c r="AG584" s="306">
        <f t="shared" ca="1" si="288"/>
        <v>8.4701716500737909</v>
      </c>
      <c r="AH584" s="304">
        <f t="shared" ca="1" si="289"/>
        <v>-0.41603195447465641</v>
      </c>
    </row>
    <row r="585" spans="1:34" x14ac:dyDescent="0.2">
      <c r="A585" s="347">
        <f t="shared" ca="1" si="267"/>
        <v>0.1</v>
      </c>
      <c r="B585" s="304">
        <f t="shared" ca="1" si="268"/>
        <v>22.1</v>
      </c>
      <c r="D585" s="306">
        <f t="shared" ca="1" si="269"/>
        <v>-0.18062840832905661</v>
      </c>
      <c r="E585" s="307">
        <f t="shared" ca="1" si="270"/>
        <v>-9.4110381507519811</v>
      </c>
      <c r="F585" s="304">
        <f t="shared" ca="1" si="271"/>
        <v>9.4127714142437746</v>
      </c>
      <c r="G585" s="306">
        <f t="shared" ca="1" si="272"/>
        <v>13.891219539242027</v>
      </c>
      <c r="H585" s="307">
        <f t="shared" ca="1" si="273"/>
        <v>-31.663142897423199</v>
      </c>
      <c r="I585" s="304">
        <f t="shared" ca="1" si="274"/>
        <v>34.576301109720518</v>
      </c>
      <c r="J585" s="306">
        <f t="shared" ca="1" si="275"/>
        <v>368.51126423012232</v>
      </c>
      <c r="K585" s="307">
        <f t="shared" ca="1" si="276"/>
        <v>1874.3405187372655</v>
      </c>
      <c r="L585" s="304">
        <f t="shared" ca="1" si="261"/>
        <v>1910.2232675906669</v>
      </c>
      <c r="M585" s="306">
        <f t="shared" ca="1" si="277"/>
        <v>-1.1573632581640612</v>
      </c>
      <c r="N585" s="304">
        <f t="shared" ca="1" si="278"/>
        <v>-66.312030056310618</v>
      </c>
      <c r="P585" s="310">
        <f t="shared" ca="1" si="279"/>
        <v>23</v>
      </c>
      <c r="Q585" s="304">
        <f t="shared" ca="1" si="280"/>
        <v>0</v>
      </c>
      <c r="R585" s="306">
        <f t="shared" ca="1" si="281"/>
        <v>0</v>
      </c>
      <c r="S585" s="307">
        <f t="shared" ca="1" si="282"/>
        <v>6.1519999999999921</v>
      </c>
      <c r="T585" s="304">
        <f t="shared" ca="1" si="262"/>
        <v>60.351119999999923</v>
      </c>
      <c r="U585" s="311">
        <f t="shared" ca="1" si="263"/>
        <v>0</v>
      </c>
      <c r="V585" s="306">
        <f t="shared" ca="1" si="264"/>
        <v>1.0150675329172671</v>
      </c>
      <c r="W585" s="304">
        <f t="shared" ca="1" si="265"/>
        <v>2.8330328761263992</v>
      </c>
      <c r="Y585" s="314" t="str">
        <f t="shared" ca="1" si="283"/>
        <v/>
      </c>
      <c r="Z585" s="315" t="str">
        <f t="shared" ca="1" si="284"/>
        <v/>
      </c>
      <c r="AA585" s="316" t="str">
        <f t="shared" ca="1" si="285"/>
        <v/>
      </c>
      <c r="AC585" s="310" t="e">
        <f t="shared" ca="1" si="286"/>
        <v>#N/A</v>
      </c>
      <c r="AD585" s="323" t="e">
        <f t="shared" ca="1" si="287"/>
        <v>#N/A</v>
      </c>
      <c r="AE585" s="324" t="e">
        <f t="shared" ca="1" si="266"/>
        <v>#N/A</v>
      </c>
      <c r="AG585" s="306">
        <f t="shared" ca="1" si="288"/>
        <v>8.4987964345314602</v>
      </c>
      <c r="AH585" s="304">
        <f t="shared" ca="1" si="289"/>
        <v>-0.43794654816642625</v>
      </c>
    </row>
    <row r="586" spans="1:34" x14ac:dyDescent="0.2">
      <c r="A586" s="347">
        <f t="shared" ca="1" si="267"/>
        <v>0.1</v>
      </c>
      <c r="B586" s="304">
        <f t="shared" ca="1" si="268"/>
        <v>22.200000000000003</v>
      </c>
      <c r="D586" s="306">
        <f t="shared" ca="1" si="269"/>
        <v>-0.18501082125112517</v>
      </c>
      <c r="E586" s="307">
        <f t="shared" ca="1" si="270"/>
        <v>-9.3882930322067573</v>
      </c>
      <c r="F586" s="304">
        <f t="shared" ca="1" si="271"/>
        <v>9.3901158173135411</v>
      </c>
      <c r="G586" s="306">
        <f t="shared" ca="1" si="272"/>
        <v>13.872718457116914</v>
      </c>
      <c r="H586" s="307">
        <f t="shared" ca="1" si="273"/>
        <v>-32.601972200643878</v>
      </c>
      <c r="I586" s="304">
        <f t="shared" ca="1" si="274"/>
        <v>35.430790405549644</v>
      </c>
      <c r="J586" s="306">
        <f t="shared" ca="1" si="275"/>
        <v>369.89946112994028</v>
      </c>
      <c r="K586" s="307">
        <f t="shared" ca="1" si="276"/>
        <v>1871.127262982362</v>
      </c>
      <c r="L586" s="304">
        <f t="shared" ca="1" si="261"/>
        <v>1907.3392057051849</v>
      </c>
      <c r="M586" s="306">
        <f t="shared" ca="1" si="277"/>
        <v>-1.1684872065907981</v>
      </c>
      <c r="N586" s="304">
        <f t="shared" ca="1" si="278"/>
        <v>-66.949385352683834</v>
      </c>
      <c r="P586" s="310">
        <f t="shared" ca="1" si="279"/>
        <v>23</v>
      </c>
      <c r="Q586" s="304">
        <f t="shared" ca="1" si="280"/>
        <v>0</v>
      </c>
      <c r="R586" s="306">
        <f t="shared" ca="1" si="281"/>
        <v>0</v>
      </c>
      <c r="S586" s="307">
        <f t="shared" ca="1" si="282"/>
        <v>6.1519999999999921</v>
      </c>
      <c r="T586" s="304">
        <f t="shared" ca="1" si="262"/>
        <v>60.351119999999923</v>
      </c>
      <c r="U586" s="311">
        <f t="shared" ca="1" si="263"/>
        <v>0</v>
      </c>
      <c r="V586" s="306">
        <f t="shared" ca="1" si="264"/>
        <v>1.0153966384912494</v>
      </c>
      <c r="W586" s="304">
        <f t="shared" ca="1" si="265"/>
        <v>2.9757539388521153</v>
      </c>
      <c r="Y586" s="314" t="str">
        <f t="shared" ca="1" si="283"/>
        <v/>
      </c>
      <c r="Z586" s="315" t="str">
        <f t="shared" ca="1" si="284"/>
        <v/>
      </c>
      <c r="AA586" s="316" t="str">
        <f t="shared" ca="1" si="285"/>
        <v/>
      </c>
      <c r="AC586" s="310" t="e">
        <f t="shared" ca="1" si="286"/>
        <v>#N/A</v>
      </c>
      <c r="AD586" s="323" t="e">
        <f t="shared" ca="1" si="287"/>
        <v>#N/A</v>
      </c>
      <c r="AE586" s="324" t="e">
        <f t="shared" ca="1" si="266"/>
        <v>#N/A</v>
      </c>
      <c r="AG586" s="306">
        <f t="shared" ca="1" si="288"/>
        <v>8.522971759511389</v>
      </c>
      <c r="AH586" s="304">
        <f t="shared" ca="1" si="289"/>
        <v>-0.46050599416879112</v>
      </c>
    </row>
    <row r="587" spans="1:34" x14ac:dyDescent="0.2">
      <c r="A587" s="347">
        <f t="shared" ca="1" si="267"/>
        <v>0.1</v>
      </c>
      <c r="B587" s="304">
        <f t="shared" ca="1" si="268"/>
        <v>22.300000000000004</v>
      </c>
      <c r="D587" s="306">
        <f t="shared" ca="1" si="269"/>
        <v>-0.189391909150154</v>
      </c>
      <c r="E587" s="307">
        <f t="shared" ca="1" si="270"/>
        <v>-9.3649142169772386</v>
      </c>
      <c r="F587" s="304">
        <f t="shared" ca="1" si="271"/>
        <v>9.3668291105685242</v>
      </c>
      <c r="G587" s="306">
        <f t="shared" ca="1" si="272"/>
        <v>13.853779266201899</v>
      </c>
      <c r="H587" s="307">
        <f t="shared" ca="1" si="273"/>
        <v>-33.538463622341602</v>
      </c>
      <c r="I587" s="304">
        <f t="shared" ca="1" si="274"/>
        <v>36.287129152135698</v>
      </c>
      <c r="J587" s="306">
        <f t="shared" ca="1" si="275"/>
        <v>371.28578601610621</v>
      </c>
      <c r="K587" s="307">
        <f t="shared" ca="1" si="276"/>
        <v>1867.8202411912127</v>
      </c>
      <c r="L587" s="304">
        <f t="shared" ca="1" si="261"/>
        <v>1904.364877932062</v>
      </c>
      <c r="M587" s="306">
        <f t="shared" ca="1" si="277"/>
        <v>-1.1790725569963982</v>
      </c>
      <c r="N587" s="304">
        <f t="shared" ca="1" si="278"/>
        <v>-67.555881255591828</v>
      </c>
      <c r="P587" s="310">
        <f t="shared" ca="1" si="279"/>
        <v>23</v>
      </c>
      <c r="Q587" s="304">
        <f t="shared" ca="1" si="280"/>
        <v>0</v>
      </c>
      <c r="R587" s="306">
        <f t="shared" ca="1" si="281"/>
        <v>0</v>
      </c>
      <c r="S587" s="307">
        <f t="shared" ca="1" si="282"/>
        <v>6.1519999999999921</v>
      </c>
      <c r="T587" s="304">
        <f t="shared" ca="1" si="262"/>
        <v>60.351119999999923</v>
      </c>
      <c r="U587" s="311">
        <f t="shared" ca="1" si="263"/>
        <v>0</v>
      </c>
      <c r="V587" s="306">
        <f t="shared" ca="1" si="264"/>
        <v>1.0157354486891834</v>
      </c>
      <c r="W587" s="304">
        <f t="shared" ca="1" si="265"/>
        <v>3.1223777560298172</v>
      </c>
      <c r="Y587" s="314" t="str">
        <f t="shared" ca="1" si="283"/>
        <v/>
      </c>
      <c r="Z587" s="315" t="str">
        <f t="shared" ca="1" si="284"/>
        <v/>
      </c>
      <c r="AA587" s="316" t="str">
        <f t="shared" ca="1" si="285"/>
        <v/>
      </c>
      <c r="AC587" s="310" t="e">
        <f t="shared" ca="1" si="286"/>
        <v>#N/A</v>
      </c>
      <c r="AD587" s="323" t="e">
        <f t="shared" ca="1" si="287"/>
        <v>#N/A</v>
      </c>
      <c r="AE587" s="324" t="e">
        <f t="shared" ca="1" si="266"/>
        <v>#N/A</v>
      </c>
      <c r="AG587" s="306">
        <f t="shared" ca="1" si="288"/>
        <v>8.543057856315837</v>
      </c>
      <c r="AH587" s="304">
        <f t="shared" ca="1" si="289"/>
        <v>-0.48370512660144976</v>
      </c>
    </row>
    <row r="588" spans="1:34" x14ac:dyDescent="0.2">
      <c r="A588" s="347">
        <f t="shared" ca="1" si="267"/>
        <v>0.1</v>
      </c>
      <c r="B588" s="304">
        <f t="shared" ca="1" si="268"/>
        <v>22.400000000000006</v>
      </c>
      <c r="D588" s="306">
        <f t="shared" ca="1" si="269"/>
        <v>-0.1937692109623235</v>
      </c>
      <c r="E588" s="307">
        <f t="shared" ca="1" si="270"/>
        <v>-9.3409062236292311</v>
      </c>
      <c r="F588" s="304">
        <f t="shared" ca="1" si="271"/>
        <v>9.342915796781659</v>
      </c>
      <c r="G588" s="306">
        <f t="shared" ca="1" si="272"/>
        <v>13.834402345105667</v>
      </c>
      <c r="H588" s="307">
        <f t="shared" ca="1" si="273"/>
        <v>-34.472554244704526</v>
      </c>
      <c r="I588" s="304">
        <f t="shared" ca="1" si="274"/>
        <v>37.14495503295651</v>
      </c>
      <c r="J588" s="306">
        <f t="shared" ca="1" si="275"/>
        <v>372.67019509667159</v>
      </c>
      <c r="K588" s="307">
        <f t="shared" ca="1" si="276"/>
        <v>1864.4196902978604</v>
      </c>
      <c r="L588" s="304">
        <f t="shared" ca="1" si="261"/>
        <v>1901.300569579613</v>
      </c>
      <c r="M588" s="306">
        <f t="shared" ca="1" si="277"/>
        <v>-1.1891556130771108</v>
      </c>
      <c r="N588" s="304">
        <f t="shared" ca="1" si="278"/>
        <v>-68.133597813610379</v>
      </c>
      <c r="P588" s="310">
        <f t="shared" ca="1" si="279"/>
        <v>23</v>
      </c>
      <c r="Q588" s="304">
        <f t="shared" ca="1" si="280"/>
        <v>0</v>
      </c>
      <c r="R588" s="306">
        <f t="shared" ca="1" si="281"/>
        <v>0</v>
      </c>
      <c r="S588" s="307">
        <f t="shared" ca="1" si="282"/>
        <v>6.1519999999999921</v>
      </c>
      <c r="T588" s="304">
        <f t="shared" ca="1" si="262"/>
        <v>60.351119999999923</v>
      </c>
      <c r="U588" s="311">
        <f t="shared" ca="1" si="263"/>
        <v>0</v>
      </c>
      <c r="V588" s="306">
        <f t="shared" ca="1" si="264"/>
        <v>1.0160839479880324</v>
      </c>
      <c r="W588" s="304">
        <f t="shared" ca="1" si="265"/>
        <v>3.2728709279601653</v>
      </c>
      <c r="Y588" s="314" t="str">
        <f t="shared" ca="1" si="283"/>
        <v/>
      </c>
      <c r="Z588" s="315" t="str">
        <f t="shared" ca="1" si="284"/>
        <v/>
      </c>
      <c r="AA588" s="316" t="str">
        <f t="shared" ca="1" si="285"/>
        <v/>
      </c>
      <c r="AC588" s="310" t="e">
        <f t="shared" ca="1" si="286"/>
        <v>#N/A</v>
      </c>
      <c r="AD588" s="323" t="e">
        <f t="shared" ca="1" si="287"/>
        <v>#N/A</v>
      </c>
      <c r="AE588" s="324" t="e">
        <f t="shared" ca="1" si="266"/>
        <v>#N/A</v>
      </c>
      <c r="AG588" s="306">
        <f t="shared" ca="1" si="288"/>
        <v>8.5593766980421169</v>
      </c>
      <c r="AH588" s="304">
        <f t="shared" ca="1" si="289"/>
        <v>-0.50753864694893058</v>
      </c>
    </row>
    <row r="589" spans="1:34" x14ac:dyDescent="0.2">
      <c r="A589" s="347">
        <f t="shared" ca="1" si="267"/>
        <v>0.1</v>
      </c>
      <c r="B589" s="304">
        <f t="shared" ca="1" si="268"/>
        <v>22.500000000000007</v>
      </c>
      <c r="D589" s="306">
        <f t="shared" ca="1" si="269"/>
        <v>-0.19814043711778948</v>
      </c>
      <c r="E589" s="307">
        <f t="shared" ca="1" si="270"/>
        <v>-9.3162737951214112</v>
      </c>
      <c r="F589" s="304">
        <f t="shared" ca="1" si="271"/>
        <v>9.3183806027918354</v>
      </c>
      <c r="G589" s="306">
        <f t="shared" ca="1" si="272"/>
        <v>13.814588301393888</v>
      </c>
      <c r="H589" s="307">
        <f t="shared" ca="1" si="273"/>
        <v>-35.404181624216669</v>
      </c>
      <c r="I589" s="304">
        <f t="shared" ca="1" si="274"/>
        <v>38.003933038799154</v>
      </c>
      <c r="J589" s="306">
        <f t="shared" ca="1" si="275"/>
        <v>374.05264462899657</v>
      </c>
      <c r="K589" s="307">
        <f t="shared" ca="1" si="276"/>
        <v>1860.9258535044144</v>
      </c>
      <c r="L589" s="304">
        <f t="shared" ca="1" si="261"/>
        <v>1898.1465731589537</v>
      </c>
      <c r="M589" s="306">
        <f t="shared" ca="1" si="277"/>
        <v>-1.1987696927905582</v>
      </c>
      <c r="N589" s="304">
        <f t="shared" ca="1" si="278"/>
        <v>-68.684444005093255</v>
      </c>
      <c r="P589" s="310">
        <f t="shared" ca="1" si="279"/>
        <v>23</v>
      </c>
      <c r="Q589" s="304">
        <f t="shared" ca="1" si="280"/>
        <v>0</v>
      </c>
      <c r="R589" s="306">
        <f t="shared" ca="1" si="281"/>
        <v>0</v>
      </c>
      <c r="S589" s="307">
        <f t="shared" ca="1" si="282"/>
        <v>6.1519999999999921</v>
      </c>
      <c r="T589" s="304">
        <f t="shared" ca="1" si="262"/>
        <v>60.351119999999923</v>
      </c>
      <c r="U589" s="311">
        <f t="shared" ca="1" si="263"/>
        <v>0</v>
      </c>
      <c r="V589" s="306">
        <f t="shared" ca="1" si="264"/>
        <v>1.0164421204463792</v>
      </c>
      <c r="W589" s="304">
        <f t="shared" ca="1" si="265"/>
        <v>3.4271992649481917</v>
      </c>
      <c r="Y589" s="314" t="str">
        <f t="shared" ca="1" si="283"/>
        <v/>
      </c>
      <c r="Z589" s="315" t="str">
        <f t="shared" ca="1" si="284"/>
        <v/>
      </c>
      <c r="AA589" s="316" t="str">
        <f t="shared" ca="1" si="285"/>
        <v/>
      </c>
      <c r="AC589" s="310" t="e">
        <f t="shared" ca="1" si="286"/>
        <v>#N/A</v>
      </c>
      <c r="AD589" s="323" t="e">
        <f t="shared" ca="1" si="287"/>
        <v>#N/A</v>
      </c>
      <c r="AE589" s="324" t="e">
        <f t="shared" ca="1" si="266"/>
        <v>#N/A</v>
      </c>
      <c r="AG589" s="306">
        <f t="shared" ca="1" si="288"/>
        <v>8.5722165755863529</v>
      </c>
      <c r="AH589" s="304">
        <f t="shared" ca="1" si="289"/>
        <v>-0.53200112613136696</v>
      </c>
    </row>
    <row r="590" spans="1:34" x14ac:dyDescent="0.2">
      <c r="A590" s="347">
        <f t="shared" ca="1" si="267"/>
        <v>0.1</v>
      </c>
      <c r="B590" s="304">
        <f t="shared" ca="1" si="268"/>
        <v>22.600000000000009</v>
      </c>
      <c r="D590" s="306">
        <f t="shared" ca="1" si="269"/>
        <v>-0.20250345239669376</v>
      </c>
      <c r="E590" s="307">
        <f t="shared" ca="1" si="270"/>
        <v>-9.2910218841295436</v>
      </c>
      <c r="F590" s="304">
        <f t="shared" ca="1" si="271"/>
        <v>9.2932284648343106</v>
      </c>
      <c r="G590" s="306">
        <f t="shared" ca="1" si="272"/>
        <v>13.794337956154219</v>
      </c>
      <c r="H590" s="307">
        <f t="shared" ca="1" si="273"/>
        <v>-36.333283812629624</v>
      </c>
      <c r="I590" s="304">
        <f t="shared" ca="1" si="274"/>
        <v>38.863752678526694</v>
      </c>
      <c r="J590" s="306">
        <f t="shared" ca="1" si="275"/>
        <v>375.43309094187396</v>
      </c>
      <c r="K590" s="307">
        <f t="shared" ca="1" si="276"/>
        <v>1857.3389802325721</v>
      </c>
      <c r="L590" s="304">
        <f t="shared" ca="1" si="261"/>
        <v>1894.9031883622815</v>
      </c>
      <c r="M590" s="306">
        <f t="shared" ca="1" si="277"/>
        <v>-1.2079454047171951</v>
      </c>
      <c r="N590" s="304">
        <f t="shared" ca="1" si="278"/>
        <v>-69.210173572517405</v>
      </c>
      <c r="P590" s="310">
        <f t="shared" ca="1" si="279"/>
        <v>23</v>
      </c>
      <c r="Q590" s="304">
        <f t="shared" ca="1" si="280"/>
        <v>0</v>
      </c>
      <c r="R590" s="306">
        <f t="shared" ca="1" si="281"/>
        <v>0</v>
      </c>
      <c r="S590" s="307">
        <f t="shared" ca="1" si="282"/>
        <v>6.1519999999999921</v>
      </c>
      <c r="T590" s="304">
        <f t="shared" ca="1" si="262"/>
        <v>60.351119999999923</v>
      </c>
      <c r="U590" s="311">
        <f t="shared" ca="1" si="263"/>
        <v>0</v>
      </c>
      <c r="V590" s="306">
        <f t="shared" ca="1" si="264"/>
        <v>1.0168099497068155</v>
      </c>
      <c r="W590" s="304">
        <f t="shared" ca="1" si="265"/>
        <v>3.5853278010025558</v>
      </c>
      <c r="Y590" s="314" t="str">
        <f t="shared" ca="1" si="283"/>
        <v/>
      </c>
      <c r="Z590" s="315" t="str">
        <f t="shared" ca="1" si="284"/>
        <v/>
      </c>
      <c r="AA590" s="316" t="str">
        <f t="shared" ca="1" si="285"/>
        <v/>
      </c>
      <c r="AC590" s="310" t="e">
        <f t="shared" ca="1" si="286"/>
        <v>#N/A</v>
      </c>
      <c r="AD590" s="323" t="e">
        <f t="shared" ca="1" si="287"/>
        <v>#N/A</v>
      </c>
      <c r="AE590" s="324" t="e">
        <f t="shared" ca="1" si="266"/>
        <v>#N/A</v>
      </c>
      <c r="AG590" s="306">
        <f t="shared" ca="1" si="288"/>
        <v>8.5818360984599877</v>
      </c>
      <c r="AH590" s="304">
        <f t="shared" ca="1" si="289"/>
        <v>-0.55708700665607869</v>
      </c>
    </row>
    <row r="591" spans="1:34" x14ac:dyDescent="0.2">
      <c r="A591" s="347">
        <f t="shared" ca="1" si="267"/>
        <v>0.1</v>
      </c>
      <c r="B591" s="304">
        <f t="shared" ca="1" si="268"/>
        <v>22.70000000000001</v>
      </c>
      <c r="D591" s="306">
        <f t="shared" ca="1" si="269"/>
        <v>-0.20685626082981556</v>
      </c>
      <c r="E591" s="307">
        <f t="shared" ca="1" si="270"/>
        <v>-9.2651556401591613</v>
      </c>
      <c r="F591" s="304">
        <f t="shared" ca="1" si="271"/>
        <v>9.2674645156600199</v>
      </c>
      <c r="G591" s="306">
        <f t="shared" ca="1" si="272"/>
        <v>13.773652330071238</v>
      </c>
      <c r="H591" s="307">
        <f t="shared" ca="1" si="273"/>
        <v>-37.259799376645539</v>
      </c>
      <c r="I591" s="304">
        <f t="shared" ca="1" si="274"/>
        <v>39.724125517090393</v>
      </c>
      <c r="J591" s="306">
        <f t="shared" ca="1" si="275"/>
        <v>376.81149045618525</v>
      </c>
      <c r="K591" s="307">
        <f t="shared" ca="1" si="276"/>
        <v>1853.6593260731083</v>
      </c>
      <c r="L591" s="304">
        <f t="shared" ca="1" si="261"/>
        <v>1891.570722039655</v>
      </c>
      <c r="M591" s="306">
        <f t="shared" ca="1" si="277"/>
        <v>-1.216710897802372</v>
      </c>
      <c r="N591" s="304">
        <f t="shared" ca="1" si="278"/>
        <v>-69.712399331649138</v>
      </c>
      <c r="P591" s="310">
        <f t="shared" ca="1" si="279"/>
        <v>23</v>
      </c>
      <c r="Q591" s="304">
        <f t="shared" ca="1" si="280"/>
        <v>0</v>
      </c>
      <c r="R591" s="306">
        <f t="shared" ca="1" si="281"/>
        <v>0</v>
      </c>
      <c r="S591" s="307">
        <f t="shared" ca="1" si="282"/>
        <v>6.1519999999999921</v>
      </c>
      <c r="T591" s="304">
        <f t="shared" ca="1" si="262"/>
        <v>60.351119999999923</v>
      </c>
      <c r="U591" s="311">
        <f t="shared" ca="1" si="263"/>
        <v>0</v>
      </c>
      <c r="V591" s="306">
        <f t="shared" ca="1" si="264"/>
        <v>1.0171874189984833</v>
      </c>
      <c r="W591" s="304">
        <f t="shared" ca="1" si="265"/>
        <v>3.7472208079664853</v>
      </c>
      <c r="Y591" s="314" t="str">
        <f t="shared" ca="1" si="283"/>
        <v/>
      </c>
      <c r="Z591" s="315" t="str">
        <f t="shared" ca="1" si="284"/>
        <v/>
      </c>
      <c r="AA591" s="316" t="str">
        <f t="shared" ca="1" si="285"/>
        <v/>
      </c>
      <c r="AC591" s="310" t="e">
        <f t="shared" ca="1" si="286"/>
        <v>#N/A</v>
      </c>
      <c r="AD591" s="323" t="e">
        <f t="shared" ca="1" si="287"/>
        <v>#N/A</v>
      </c>
      <c r="AE591" s="324" t="e">
        <f t="shared" ca="1" si="266"/>
        <v>#N/A</v>
      </c>
      <c r="AG591" s="306">
        <f t="shared" ca="1" si="288"/>
        <v>8.5884676920630696</v>
      </c>
      <c r="AH591" s="304">
        <f t="shared" ca="1" si="289"/>
        <v>-0.5827906048443694</v>
      </c>
    </row>
    <row r="592" spans="1:34" x14ac:dyDescent="0.2">
      <c r="A592" s="347">
        <f t="shared" ca="1" si="267"/>
        <v>0.1</v>
      </c>
      <c r="B592" s="304">
        <f t="shared" ca="1" si="268"/>
        <v>22.800000000000011</v>
      </c>
      <c r="D592" s="306">
        <f t="shared" ca="1" si="269"/>
        <v>-0.21119699238548287</v>
      </c>
      <c r="E592" s="307">
        <f t="shared" ca="1" si="270"/>
        <v>-9.2386803981501888</v>
      </c>
      <c r="F592" s="304">
        <f t="shared" ca="1" si="271"/>
        <v>9.2410940731472486</v>
      </c>
      <c r="G592" s="306">
        <f t="shared" ca="1" si="272"/>
        <v>13.75253263083269</v>
      </c>
      <c r="H592" s="307">
        <f t="shared" ca="1" si="273"/>
        <v>-38.183667416460558</v>
      </c>
      <c r="I592" s="304">
        <f t="shared" ca="1" si="274"/>
        <v>40.584782999703101</v>
      </c>
      <c r="J592" s="306">
        <f t="shared" ca="1" si="275"/>
        <v>378.18779970423043</v>
      </c>
      <c r="K592" s="307">
        <f t="shared" ca="1" si="276"/>
        <v>1849.8871527334529</v>
      </c>
      <c r="L592" s="304">
        <f t="shared" ca="1" si="261"/>
        <v>1888.1494881744422</v>
      </c>
      <c r="M592" s="306">
        <f t="shared" ca="1" si="277"/>
        <v>-1.2250920868085027</v>
      </c>
      <c r="N592" s="304">
        <f t="shared" ca="1" si="278"/>
        <v>-70.192606089001885</v>
      </c>
      <c r="P592" s="310">
        <f t="shared" ca="1" si="279"/>
        <v>23</v>
      </c>
      <c r="Q592" s="304">
        <f t="shared" ca="1" si="280"/>
        <v>0</v>
      </c>
      <c r="R592" s="306">
        <f t="shared" ca="1" si="281"/>
        <v>0</v>
      </c>
      <c r="S592" s="307">
        <f t="shared" ca="1" si="282"/>
        <v>6.1519999999999921</v>
      </c>
      <c r="T592" s="304">
        <f t="shared" ca="1" si="262"/>
        <v>60.351119999999923</v>
      </c>
      <c r="U592" s="311">
        <f t="shared" ca="1" si="263"/>
        <v>0</v>
      </c>
      <c r="V592" s="306">
        <f t="shared" ca="1" si="264"/>
        <v>1.0175745111397534</v>
      </c>
      <c r="W592" s="304">
        <f t="shared" ca="1" si="265"/>
        <v>3.912841810052285</v>
      </c>
      <c r="Y592" s="314" t="str">
        <f t="shared" ca="1" si="283"/>
        <v/>
      </c>
      <c r="Z592" s="315" t="str">
        <f t="shared" ca="1" si="284"/>
        <v/>
      </c>
      <c r="AA592" s="316" t="str">
        <f t="shared" ca="1" si="285"/>
        <v/>
      </c>
      <c r="AC592" s="310" t="e">
        <f t="shared" ca="1" si="286"/>
        <v>#N/A</v>
      </c>
      <c r="AD592" s="323" t="e">
        <f t="shared" ca="1" si="287"/>
        <v>#N/A</v>
      </c>
      <c r="AE592" s="324" t="e">
        <f t="shared" ca="1" si="266"/>
        <v>#N/A</v>
      </c>
      <c r="AG592" s="306">
        <f t="shared" ca="1" si="288"/>
        <v>8.5923206552880114</v>
      </c>
      <c r="AH592" s="304">
        <f t="shared" ca="1" si="289"/>
        <v>-0.60910611312849317</v>
      </c>
    </row>
    <row r="593" spans="1:34" x14ac:dyDescent="0.2">
      <c r="A593" s="347">
        <f t="shared" ca="1" si="267"/>
        <v>0.1</v>
      </c>
      <c r="B593" s="304">
        <f t="shared" ca="1" si="268"/>
        <v>22.900000000000013</v>
      </c>
      <c r="D593" s="306">
        <f t="shared" ca="1" si="269"/>
        <v>-0.21552389121745094</v>
      </c>
      <c r="E593" s="307">
        <f t="shared" ca="1" si="270"/>
        <v>-9.2116016683284698</v>
      </c>
      <c r="F593" s="304">
        <f t="shared" ca="1" si="271"/>
        <v>9.2141226301605812</v>
      </c>
      <c r="G593" s="306">
        <f t="shared" ca="1" si="272"/>
        <v>13.730980241710945</v>
      </c>
      <c r="H593" s="307">
        <f t="shared" ca="1" si="273"/>
        <v>-39.104827583293407</v>
      </c>
      <c r="I593" s="304">
        <f t="shared" ca="1" si="274"/>
        <v>41.445474526386604</v>
      </c>
      <c r="J593" s="306">
        <f t="shared" ca="1" si="275"/>
        <v>379.56197534785758</v>
      </c>
      <c r="K593" s="307">
        <f t="shared" ca="1" si="276"/>
        <v>1846.0227279834653</v>
      </c>
      <c r="L593" s="304">
        <f t="shared" ca="1" si="261"/>
        <v>1884.6398078575871</v>
      </c>
      <c r="M593" s="306">
        <f t="shared" ca="1" si="277"/>
        <v>-1.233112855709972</v>
      </c>
      <c r="N593" s="304">
        <f t="shared" ca="1" si="278"/>
        <v>-70.652162295505846</v>
      </c>
      <c r="P593" s="310">
        <f t="shared" ca="1" si="279"/>
        <v>23</v>
      </c>
      <c r="Q593" s="304">
        <f t="shared" ca="1" si="280"/>
        <v>0</v>
      </c>
      <c r="R593" s="306">
        <f t="shared" ca="1" si="281"/>
        <v>0</v>
      </c>
      <c r="S593" s="307">
        <f t="shared" ca="1" si="282"/>
        <v>6.1519999999999921</v>
      </c>
      <c r="T593" s="304">
        <f t="shared" ca="1" si="262"/>
        <v>60.351119999999923</v>
      </c>
      <c r="U593" s="311">
        <f t="shared" ca="1" si="263"/>
        <v>0</v>
      </c>
      <c r="V593" s="306">
        <f t="shared" ca="1" si="264"/>
        <v>1.0179712085410355</v>
      </c>
      <c r="W593" s="304">
        <f t="shared" ca="1" si="265"/>
        <v>4.0821535987537168</v>
      </c>
      <c r="Y593" s="314" t="str">
        <f t="shared" ca="1" si="283"/>
        <v/>
      </c>
      <c r="Z593" s="315" t="str">
        <f t="shared" ca="1" si="284"/>
        <v/>
      </c>
      <c r="AA593" s="316" t="str">
        <f t="shared" ca="1" si="285"/>
        <v/>
      </c>
      <c r="AC593" s="310" t="e">
        <f t="shared" ca="1" si="286"/>
        <v>#N/A</v>
      </c>
      <c r="AD593" s="323" t="e">
        <f t="shared" ca="1" si="287"/>
        <v>#N/A</v>
      </c>
      <c r="AE593" s="324" t="e">
        <f t="shared" ca="1" si="266"/>
        <v>#N/A</v>
      </c>
      <c r="AG593" s="306">
        <f t="shared" ca="1" si="288"/>
        <v>8.5935838349123834</v>
      </c>
      <c r="AH593" s="304">
        <f t="shared" ca="1" si="289"/>
        <v>-0.6360276024142214</v>
      </c>
    </row>
    <row r="594" spans="1:34" x14ac:dyDescent="0.2">
      <c r="A594" s="347">
        <f t="shared" ca="1" si="267"/>
        <v>0.1</v>
      </c>
      <c r="B594" s="304">
        <f t="shared" ca="1" si="268"/>
        <v>23.000000000000014</v>
      </c>
      <c r="D594" s="306">
        <f t="shared" ca="1" si="269"/>
        <v>-0.21983530527758108</v>
      </c>
      <c r="E594" s="307">
        <f t="shared" ca="1" si="270"/>
        <v>-9.1839251271015385</v>
      </c>
      <c r="F594" s="304">
        <f t="shared" ca="1" si="271"/>
        <v>9.1865558454544587</v>
      </c>
      <c r="G594" s="306">
        <f t="shared" ca="1" si="272"/>
        <v>13.708996711183188</v>
      </c>
      <c r="H594" s="307">
        <f t="shared" ca="1" si="273"/>
        <v>-40.023220096003563</v>
      </c>
      <c r="I594" s="304">
        <f t="shared" ca="1" si="274"/>
        <v>42.305965745747663</v>
      </c>
      <c r="J594" s="306">
        <f t="shared" ca="1" si="275"/>
        <v>380.93397419550229</v>
      </c>
      <c r="K594" s="307">
        <f t="shared" ca="1" si="276"/>
        <v>1842.0663255995005</v>
      </c>
      <c r="L594" s="304">
        <f t="shared" ca="1" si="261"/>
        <v>1881.042009260831</v>
      </c>
      <c r="M594" s="306">
        <f t="shared" ca="1" si="277"/>
        <v>-1.2407952411312901</v>
      </c>
      <c r="N594" s="304">
        <f t="shared" ca="1" si="278"/>
        <v>-71.092330556740208</v>
      </c>
      <c r="P594" s="310">
        <f t="shared" ca="1" si="279"/>
        <v>23</v>
      </c>
      <c r="Q594" s="304">
        <f t="shared" ca="1" si="280"/>
        <v>0</v>
      </c>
      <c r="R594" s="306">
        <f t="shared" ca="1" si="281"/>
        <v>0</v>
      </c>
      <c r="S594" s="307">
        <f t="shared" ca="1" si="282"/>
        <v>6.1519999999999921</v>
      </c>
      <c r="T594" s="304">
        <f t="shared" ca="1" si="262"/>
        <v>60.351119999999923</v>
      </c>
      <c r="U594" s="311">
        <f t="shared" ca="1" si="263"/>
        <v>0</v>
      </c>
      <c r="V594" s="306">
        <f t="shared" ca="1" si="264"/>
        <v>1.0183774932077125</v>
      </c>
      <c r="W594" s="304">
        <f t="shared" ca="1" si="265"/>
        <v>4.255118248112562</v>
      </c>
      <c r="Y594" s="314" t="str">
        <f t="shared" ca="1" si="283"/>
        <v/>
      </c>
      <c r="Z594" s="315" t="str">
        <f t="shared" ca="1" si="284"/>
        <v/>
      </c>
      <c r="AA594" s="316" t="str">
        <f t="shared" ca="1" si="285"/>
        <v/>
      </c>
      <c r="AC594" s="310">
        <f t="shared" ca="1" si="286"/>
        <v>23.000000000000014</v>
      </c>
      <c r="AD594" s="323">
        <f t="shared" ca="1" si="287"/>
        <v>380.93397419550229</v>
      </c>
      <c r="AE594" s="324" t="e">
        <f t="shared" ca="1" si="266"/>
        <v>#N/A</v>
      </c>
      <c r="AG594" s="306">
        <f t="shared" ca="1" si="288"/>
        <v>8.5924279663696357</v>
      </c>
      <c r="AH594" s="304">
        <f t="shared" ca="1" si="289"/>
        <v>-0.66354902450483122</v>
      </c>
    </row>
    <row r="595" spans="1:34" x14ac:dyDescent="0.2">
      <c r="A595" s="347">
        <f t="shared" ca="1" si="267"/>
        <v>0.1</v>
      </c>
      <c r="B595" s="304">
        <f t="shared" ca="1" si="268"/>
        <v>23.100000000000016</v>
      </c>
      <c r="D595" s="306">
        <f t="shared" ca="1" si="269"/>
        <v>-0.22412967712266349</v>
      </c>
      <c r="E595" s="307">
        <f t="shared" ca="1" si="270"/>
        <v>-9.1556566088305402</v>
      </c>
      <c r="F595" s="304">
        <f t="shared" ca="1" si="271"/>
        <v>9.1583995354532028</v>
      </c>
      <c r="G595" s="306">
        <f t="shared" ca="1" si="272"/>
        <v>13.686583743470921</v>
      </c>
      <c r="H595" s="307">
        <f t="shared" ca="1" si="273"/>
        <v>-40.938785756886617</v>
      </c>
      <c r="I595" s="304">
        <f t="shared" ca="1" si="274"/>
        <v>43.166037040887886</v>
      </c>
      <c r="J595" s="306">
        <f t="shared" ca="1" si="275"/>
        <v>382.30375321823499</v>
      </c>
      <c r="K595" s="307">
        <f t="shared" ca="1" si="276"/>
        <v>1838.018225306856</v>
      </c>
      <c r="L595" s="304">
        <f t="shared" ca="1" si="261"/>
        <v>1877.3564276090233</v>
      </c>
      <c r="M595" s="306">
        <f t="shared" ca="1" si="277"/>
        <v>-1.2481595977784075</v>
      </c>
      <c r="N595" s="304">
        <f t="shared" ca="1" si="278"/>
        <v>-71.514277111449147</v>
      </c>
      <c r="P595" s="310">
        <f t="shared" ca="1" si="279"/>
        <v>23</v>
      </c>
      <c r="Q595" s="304">
        <f t="shared" ca="1" si="280"/>
        <v>0</v>
      </c>
      <c r="R595" s="306">
        <f t="shared" ca="1" si="281"/>
        <v>0</v>
      </c>
      <c r="S595" s="307">
        <f t="shared" ca="1" si="282"/>
        <v>6.1519999999999921</v>
      </c>
      <c r="T595" s="304">
        <f t="shared" ca="1" si="262"/>
        <v>60.351119999999923</v>
      </c>
      <c r="U595" s="311">
        <f t="shared" ca="1" si="263"/>
        <v>0</v>
      </c>
      <c r="V595" s="306">
        <f t="shared" ca="1" si="264"/>
        <v>1.0187933467431878</v>
      </c>
      <c r="W595" s="304">
        <f t="shared" ca="1" si="265"/>
        <v>4.431697130317314</v>
      </c>
      <c r="Y595" s="314" t="str">
        <f t="shared" ca="1" si="283"/>
        <v/>
      </c>
      <c r="Z595" s="315" t="str">
        <f t="shared" ca="1" si="284"/>
        <v/>
      </c>
      <c r="AA595" s="316" t="str">
        <f t="shared" ca="1" si="285"/>
        <v/>
      </c>
      <c r="AC595" s="310" t="e">
        <f t="shared" ca="1" si="286"/>
        <v>#N/A</v>
      </c>
      <c r="AD595" s="323" t="e">
        <f t="shared" ca="1" si="287"/>
        <v>#N/A</v>
      </c>
      <c r="AE595" s="324" t="e">
        <f t="shared" ca="1" si="266"/>
        <v>#N/A</v>
      </c>
      <c r="AG595" s="306">
        <f t="shared" ca="1" si="288"/>
        <v>8.5890077242504379</v>
      </c>
      <c r="AH595" s="304">
        <f t="shared" ca="1" si="289"/>
        <v>-0.69166421458266703</v>
      </c>
    </row>
    <row r="596" spans="1:34" x14ac:dyDescent="0.2">
      <c r="A596" s="347">
        <f t="shared" ca="1" si="267"/>
        <v>0.1</v>
      </c>
      <c r="B596" s="304">
        <f t="shared" ca="1" si="268"/>
        <v>23.200000000000017</v>
      </c>
      <c r="D596" s="306">
        <f t="shared" ca="1" si="269"/>
        <v>-0.22840553576696579</v>
      </c>
      <c r="E596" s="307">
        <f t="shared" ca="1" si="270"/>
        <v>-9.1268020983387199</v>
      </c>
      <c r="F596" s="304">
        <f t="shared" ca="1" si="271"/>
        <v>9.1296596667679264</v>
      </c>
      <c r="G596" s="306">
        <f t="shared" ca="1" si="272"/>
        <v>13.663743189894225</v>
      </c>
      <c r="H596" s="307">
        <f t="shared" ca="1" si="273"/>
        <v>-41.85146596672049</v>
      </c>
      <c r="I596" s="304">
        <f t="shared" ca="1" si="274"/>
        <v>44.025482183877827</v>
      </c>
      <c r="J596" s="306">
        <f t="shared" ca="1" si="275"/>
        <v>383.67126956490324</v>
      </c>
      <c r="K596" s="307">
        <f t="shared" ca="1" si="276"/>
        <v>1833.8787127206756</v>
      </c>
      <c r="L596" s="304">
        <f t="shared" ca="1" si="261"/>
        <v>1873.5834051516326</v>
      </c>
      <c r="M596" s="306">
        <f t="shared" ca="1" si="277"/>
        <v>-1.2552247476554197</v>
      </c>
      <c r="N596" s="304">
        <f t="shared" ca="1" si="278"/>
        <v>-71.919080381029318</v>
      </c>
      <c r="P596" s="310">
        <f t="shared" ca="1" si="279"/>
        <v>23</v>
      </c>
      <c r="Q596" s="304">
        <f t="shared" ca="1" si="280"/>
        <v>0</v>
      </c>
      <c r="R596" s="306">
        <f t="shared" ca="1" si="281"/>
        <v>0</v>
      </c>
      <c r="S596" s="307">
        <f t="shared" ca="1" si="282"/>
        <v>6.1519999999999921</v>
      </c>
      <c r="T596" s="304">
        <f t="shared" ca="1" si="262"/>
        <v>60.351119999999923</v>
      </c>
      <c r="U596" s="311">
        <f t="shared" ca="1" si="263"/>
        <v>0</v>
      </c>
      <c r="V596" s="306">
        <f t="shared" ca="1" si="264"/>
        <v>1.0192187503520402</v>
      </c>
      <c r="W596" s="304">
        <f t="shared" ca="1" si="265"/>
        <v>4.6118509316134482</v>
      </c>
      <c r="Y596" s="314" t="str">
        <f t="shared" ca="1" si="283"/>
        <v/>
      </c>
      <c r="Z596" s="315" t="str">
        <f t="shared" ca="1" si="284"/>
        <v/>
      </c>
      <c r="AA596" s="316" t="str">
        <f t="shared" ca="1" si="285"/>
        <v/>
      </c>
      <c r="AC596" s="310" t="e">
        <f t="shared" ca="1" si="286"/>
        <v>#N/A</v>
      </c>
      <c r="AD596" s="323" t="e">
        <f t="shared" ca="1" si="287"/>
        <v>#N/A</v>
      </c>
      <c r="AE596" s="324" t="e">
        <f t="shared" ca="1" si="266"/>
        <v>#N/A</v>
      </c>
      <c r="AG596" s="306">
        <f t="shared" ca="1" si="288"/>
        <v>8.5834635203061502</v>
      </c>
      <c r="AH596" s="304">
        <f t="shared" ca="1" si="289"/>
        <v>-0.72036689374468788</v>
      </c>
    </row>
    <row r="597" spans="1:34" x14ac:dyDescent="0.2">
      <c r="A597" s="347">
        <f t="shared" ca="1" si="267"/>
        <v>0.1</v>
      </c>
      <c r="B597" s="304">
        <f t="shared" ca="1" si="268"/>
        <v>23.300000000000018</v>
      </c>
      <c r="D597" s="306">
        <f t="shared" ca="1" si="269"/>
        <v>-0.23266148945144843</v>
      </c>
      <c r="E597" s="307">
        <f t="shared" ca="1" si="270"/>
        <v>-9.0973677240402555</v>
      </c>
      <c r="F597" s="304">
        <f t="shared" ca="1" si="271"/>
        <v>9.1003423493340705</v>
      </c>
      <c r="G597" s="306">
        <f t="shared" ca="1" si="272"/>
        <v>13.640477040949079</v>
      </c>
      <c r="H597" s="307">
        <f t="shared" ca="1" si="273"/>
        <v>-42.761202739124514</v>
      </c>
      <c r="I597" s="304">
        <f t="shared" ca="1" si="274"/>
        <v>44.88410713828636</v>
      </c>
      <c r="J597" s="306">
        <f t="shared" ca="1" si="275"/>
        <v>385.0364805764454</v>
      </c>
      <c r="K597" s="307">
        <f t="shared" ca="1" si="276"/>
        <v>1829.6480792853833</v>
      </c>
      <c r="L597" s="304">
        <f t="shared" ca="1" si="261"/>
        <v>1869.7232911335805</v>
      </c>
      <c r="M597" s="306">
        <f t="shared" ca="1" si="277"/>
        <v>-1.2620081147017288</v>
      </c>
      <c r="N597" s="304">
        <f t="shared" ca="1" si="278"/>
        <v>-72.307738683670962</v>
      </c>
      <c r="P597" s="310">
        <f t="shared" ca="1" si="279"/>
        <v>23</v>
      </c>
      <c r="Q597" s="304">
        <f t="shared" ca="1" si="280"/>
        <v>0</v>
      </c>
      <c r="R597" s="306">
        <f t="shared" ca="1" si="281"/>
        <v>0</v>
      </c>
      <c r="S597" s="307">
        <f t="shared" ca="1" si="282"/>
        <v>6.1519999999999921</v>
      </c>
      <c r="T597" s="304">
        <f t="shared" ca="1" si="262"/>
        <v>60.351119999999923</v>
      </c>
      <c r="U597" s="311">
        <f t="shared" ca="1" si="263"/>
        <v>0</v>
      </c>
      <c r="V597" s="306">
        <f t="shared" ca="1" si="264"/>
        <v>1.0196536848432816</v>
      </c>
      <c r="W597" s="304">
        <f t="shared" ca="1" si="265"/>
        <v>4.795539668505806</v>
      </c>
      <c r="Y597" s="314" t="str">
        <f t="shared" ca="1" si="283"/>
        <v/>
      </c>
      <c r="Z597" s="315" t="str">
        <f t="shared" ca="1" si="284"/>
        <v/>
      </c>
      <c r="AA597" s="316" t="str">
        <f t="shared" ca="1" si="285"/>
        <v/>
      </c>
      <c r="AC597" s="310" t="e">
        <f t="shared" ca="1" si="286"/>
        <v>#N/A</v>
      </c>
      <c r="AD597" s="323" t="e">
        <f t="shared" ca="1" si="287"/>
        <v>#N/A</v>
      </c>
      <c r="AE597" s="324" t="e">
        <f t="shared" ca="1" si="266"/>
        <v>#N/A</v>
      </c>
      <c r="AG597" s="306">
        <f t="shared" ca="1" si="288"/>
        <v>8.5759230817835714</v>
      </c>
      <c r="AH597" s="304">
        <f t="shared" ca="1" si="289"/>
        <v>-0.74965067158866283</v>
      </c>
    </row>
    <row r="598" spans="1:34" x14ac:dyDescent="0.2">
      <c r="A598" s="347">
        <f t="shared" ca="1" si="267"/>
        <v>0.1</v>
      </c>
      <c r="B598" s="304">
        <f t="shared" ca="1" si="268"/>
        <v>23.40000000000002</v>
      </c>
      <c r="D598" s="306">
        <f t="shared" ca="1" si="269"/>
        <v>-0.23689621921737192</v>
      </c>
      <c r="E598" s="307">
        <f t="shared" ca="1" si="270"/>
        <v>-9.0673597515925817</v>
      </c>
      <c r="F598" s="304">
        <f t="shared" ca="1" si="271"/>
        <v>9.0704538300727027</v>
      </c>
      <c r="G598" s="306">
        <f t="shared" ca="1" si="272"/>
        <v>13.616787419027343</v>
      </c>
      <c r="H598" s="307">
        <f t="shared" ca="1" si="273"/>
        <v>-43.667938714283771</v>
      </c>
      <c r="I598" s="304">
        <f t="shared" ca="1" si="274"/>
        <v>45.741728991910925</v>
      </c>
      <c r="J598" s="306">
        <f t="shared" ca="1" si="275"/>
        <v>386.39934379944424</v>
      </c>
      <c r="K598" s="307">
        <f t="shared" ca="1" si="276"/>
        <v>1825.3266222127129</v>
      </c>
      <c r="L598" s="304">
        <f t="shared" ca="1" si="261"/>
        <v>1865.7764417654953</v>
      </c>
      <c r="M598" s="306">
        <f t="shared" ca="1" si="277"/>
        <v>-1.2685258463328974</v>
      </c>
      <c r="N598" s="304">
        <f t="shared" ca="1" si="278"/>
        <v>-72.681177198135842</v>
      </c>
      <c r="P598" s="310">
        <f t="shared" ca="1" si="279"/>
        <v>23</v>
      </c>
      <c r="Q598" s="304">
        <f t="shared" ca="1" si="280"/>
        <v>0</v>
      </c>
      <c r="R598" s="306">
        <f t="shared" ca="1" si="281"/>
        <v>0</v>
      </c>
      <c r="S598" s="307">
        <f t="shared" ca="1" si="282"/>
        <v>6.1519999999999921</v>
      </c>
      <c r="T598" s="304">
        <f t="shared" ca="1" si="262"/>
        <v>60.351119999999923</v>
      </c>
      <c r="U598" s="311">
        <f t="shared" ca="1" si="263"/>
        <v>0</v>
      </c>
      <c r="V598" s="306">
        <f t="shared" ca="1" si="264"/>
        <v>1.0200981306337142</v>
      </c>
      <c r="W598" s="304">
        <f t="shared" ca="1" si="265"/>
        <v>4.9827227042347344</v>
      </c>
      <c r="Y598" s="314" t="str">
        <f t="shared" ca="1" si="283"/>
        <v/>
      </c>
      <c r="Z598" s="315" t="str">
        <f t="shared" ca="1" si="284"/>
        <v/>
      </c>
      <c r="AA598" s="316" t="str">
        <f t="shared" ca="1" si="285"/>
        <v/>
      </c>
      <c r="AC598" s="310" t="e">
        <f t="shared" ca="1" si="286"/>
        <v>#N/A</v>
      </c>
      <c r="AD598" s="323" t="e">
        <f t="shared" ca="1" si="287"/>
        <v>#N/A</v>
      </c>
      <c r="AE598" s="324" t="e">
        <f t="shared" ca="1" si="266"/>
        <v>#N/A</v>
      </c>
      <c r="AG598" s="306">
        <f t="shared" ca="1" si="288"/>
        <v>8.5665028385765876</v>
      </c>
      <c r="AH598" s="304">
        <f t="shared" ca="1" si="289"/>
        <v>-0.77950904884684857</v>
      </c>
    </row>
    <row r="599" spans="1:34" x14ac:dyDescent="0.2">
      <c r="A599" s="347">
        <f t="shared" ca="1" si="267"/>
        <v>0.1</v>
      </c>
      <c r="B599" s="304">
        <f t="shared" ca="1" si="268"/>
        <v>23.500000000000021</v>
      </c>
      <c r="D599" s="306">
        <f t="shared" ca="1" si="269"/>
        <v>-0.24110847318658821</v>
      </c>
      <c r="E599" s="307">
        <f t="shared" ca="1" si="270"/>
        <v>-9.0367845779912646</v>
      </c>
      <c r="F599" s="304">
        <f t="shared" ca="1" si="271"/>
        <v>9.0400004869946287</v>
      </c>
      <c r="G599" s="306">
        <f t="shared" ca="1" si="272"/>
        <v>13.592676571708685</v>
      </c>
      <c r="H599" s="307">
        <f t="shared" ca="1" si="273"/>
        <v>-44.571617172082895</v>
      </c>
      <c r="I599" s="304">
        <f t="shared" ca="1" si="274"/>
        <v>46.598175004154328</v>
      </c>
      <c r="J599" s="306">
        <f t="shared" ca="1" si="275"/>
        <v>387.75981699898102</v>
      </c>
      <c r="K599" s="307">
        <f t="shared" ca="1" si="276"/>
        <v>1820.9146444183946</v>
      </c>
      <c r="L599" s="304">
        <f t="shared" ca="1" si="261"/>
        <v>1861.7432201934969</v>
      </c>
      <c r="M599" s="306">
        <f t="shared" ca="1" si="277"/>
        <v>-1.2747929232249171</v>
      </c>
      <c r="N599" s="304">
        <f t="shared" ca="1" si="278"/>
        <v>-73.040254253932531</v>
      </c>
      <c r="P599" s="310">
        <f t="shared" ca="1" si="279"/>
        <v>23</v>
      </c>
      <c r="Q599" s="304">
        <f t="shared" ca="1" si="280"/>
        <v>0</v>
      </c>
      <c r="R599" s="306">
        <f t="shared" ca="1" si="281"/>
        <v>0</v>
      </c>
      <c r="S599" s="307">
        <f t="shared" ca="1" si="282"/>
        <v>6.1519999999999921</v>
      </c>
      <c r="T599" s="304">
        <f t="shared" ca="1" si="262"/>
        <v>60.351119999999923</v>
      </c>
      <c r="U599" s="311">
        <f t="shared" ca="1" si="263"/>
        <v>0</v>
      </c>
      <c r="V599" s="306">
        <f t="shared" ca="1" si="264"/>
        <v>1.0205520677513757</v>
      </c>
      <c r="W599" s="304">
        <f t="shared" ca="1" si="265"/>
        <v>5.1733587655083548</v>
      </c>
      <c r="Y599" s="314" t="str">
        <f t="shared" ca="1" si="283"/>
        <v/>
      </c>
      <c r="Z599" s="315" t="str">
        <f t="shared" ca="1" si="284"/>
        <v/>
      </c>
      <c r="AA599" s="316" t="str">
        <f t="shared" ca="1" si="285"/>
        <v/>
      </c>
      <c r="AC599" s="310" t="e">
        <f t="shared" ca="1" si="286"/>
        <v>#N/A</v>
      </c>
      <c r="AD599" s="323" t="e">
        <f t="shared" ca="1" si="287"/>
        <v>#N/A</v>
      </c>
      <c r="AE599" s="324" t="e">
        <f t="shared" ca="1" si="266"/>
        <v>#N/A</v>
      </c>
      <c r="AG599" s="306">
        <f t="shared" ca="1" si="288"/>
        <v>8.5553091438848714</v>
      </c>
      <c r="AH599" s="304">
        <f t="shared" ca="1" si="289"/>
        <v>-0.80993542006416464</v>
      </c>
    </row>
    <row r="600" spans="1:34" x14ac:dyDescent="0.2">
      <c r="A600" s="347">
        <f t="shared" ca="1" si="267"/>
        <v>0.1</v>
      </c>
      <c r="B600" s="304">
        <f t="shared" ca="1" si="268"/>
        <v>23.600000000000023</v>
      </c>
      <c r="D600" s="306">
        <f t="shared" ca="1" si="269"/>
        <v>-0.24529706146341329</v>
      </c>
      <c r="E600" s="307">
        <f t="shared" ca="1" si="270"/>
        <v>-9.0056487260397056</v>
      </c>
      <c r="F600" s="304">
        <f t="shared" ca="1" si="271"/>
        <v>9.008988823679557</v>
      </c>
      <c r="G600" s="306">
        <f t="shared" ca="1" si="272"/>
        <v>13.568146865562344</v>
      </c>
      <c r="H600" s="307">
        <f t="shared" ca="1" si="273"/>
        <v>-45.472182044686868</v>
      </c>
      <c r="I600" s="304">
        <f t="shared" ca="1" si="274"/>
        <v>47.453281754485765</v>
      </c>
      <c r="J600" s="306">
        <f t="shared" ca="1" si="275"/>
        <v>389.11785817084456</v>
      </c>
      <c r="K600" s="307">
        <f t="shared" ca="1" si="276"/>
        <v>1816.4124544575561</v>
      </c>
      <c r="L600" s="304">
        <f t="shared" ca="1" si="261"/>
        <v>1857.6239964686042</v>
      </c>
      <c r="M600" s="306">
        <f t="shared" ca="1" si="277"/>
        <v>-1.2808232585480093</v>
      </c>
      <c r="N600" s="304">
        <f t="shared" ca="1" si="278"/>
        <v>-73.385767016994379</v>
      </c>
      <c r="P600" s="310">
        <f t="shared" ca="1" si="279"/>
        <v>23</v>
      </c>
      <c r="Q600" s="304">
        <f t="shared" ca="1" si="280"/>
        <v>0</v>
      </c>
      <c r="R600" s="306">
        <f t="shared" ca="1" si="281"/>
        <v>0</v>
      </c>
      <c r="S600" s="307">
        <f t="shared" ca="1" si="282"/>
        <v>6.1519999999999921</v>
      </c>
      <c r="T600" s="304">
        <f t="shared" ca="1" si="262"/>
        <v>60.351119999999923</v>
      </c>
      <c r="U600" s="311">
        <f t="shared" ca="1" si="263"/>
        <v>0</v>
      </c>
      <c r="V600" s="306">
        <f t="shared" ca="1" si="264"/>
        <v>1.0210154758390744</v>
      </c>
      <c r="W600" s="304">
        <f t="shared" ca="1" si="265"/>
        <v>5.3674059594741976</v>
      </c>
      <c r="Y600" s="314" t="str">
        <f t="shared" ca="1" si="283"/>
        <v/>
      </c>
      <c r="Z600" s="315" t="str">
        <f t="shared" ca="1" si="284"/>
        <v/>
      </c>
      <c r="AA600" s="316" t="str">
        <f t="shared" ca="1" si="285"/>
        <v/>
      </c>
      <c r="AC600" s="310" t="e">
        <f t="shared" ca="1" si="286"/>
        <v>#N/A</v>
      </c>
      <c r="AD600" s="323" t="e">
        <f t="shared" ca="1" si="287"/>
        <v>#N/A</v>
      </c>
      <c r="AE600" s="324" t="e">
        <f t="shared" ca="1" si="266"/>
        <v>#N/A</v>
      </c>
      <c r="AG600" s="306">
        <f t="shared" ca="1" si="288"/>
        <v>8.5424393497673865</v>
      </c>
      <c r="AH600" s="304">
        <f t="shared" ca="1" si="289"/>
        <v>-0.84092307631800411</v>
      </c>
    </row>
    <row r="601" spans="1:34" x14ac:dyDescent="0.2">
      <c r="A601" s="347">
        <f t="shared" ca="1" si="267"/>
        <v>0.1</v>
      </c>
      <c r="B601" s="304">
        <f t="shared" ca="1" si="268"/>
        <v>23.700000000000024</v>
      </c>
      <c r="D601" s="306">
        <f t="shared" ca="1" si="269"/>
        <v>-0.24946085158389805</v>
      </c>
      <c r="E601" s="307">
        <f t="shared" ca="1" si="270"/>
        <v>-8.9739588391369125</v>
      </c>
      <c r="F601" s="304">
        <f t="shared" ca="1" si="271"/>
        <v>8.9774254640735673</v>
      </c>
      <c r="G601" s="306">
        <f t="shared" ca="1" si="272"/>
        <v>13.543200780403954</v>
      </c>
      <c r="H601" s="307">
        <f t="shared" ca="1" si="273"/>
        <v>-46.369577928600556</v>
      </c>
      <c r="I601" s="304">
        <f t="shared" ca="1" si="274"/>
        <v>48.306894380149238</v>
      </c>
      <c r="J601" s="306">
        <f t="shared" ca="1" si="275"/>
        <v>390.47342555314287</v>
      </c>
      <c r="K601" s="307">
        <f t="shared" ca="1" si="276"/>
        <v>1811.8203664588918</v>
      </c>
      <c r="L601" s="304">
        <f t="shared" ca="1" si="261"/>
        <v>1853.4191475158659</v>
      </c>
      <c r="M601" s="306">
        <f t="shared" ca="1" si="277"/>
        <v>-1.2866297877330999</v>
      </c>
      <c r="N601" s="304">
        <f t="shared" ca="1" si="278"/>
        <v>-73.718456632919597</v>
      </c>
      <c r="P601" s="310">
        <f t="shared" ca="1" si="279"/>
        <v>23</v>
      </c>
      <c r="Q601" s="304">
        <f t="shared" ca="1" si="280"/>
        <v>0</v>
      </c>
      <c r="R601" s="306">
        <f t="shared" ca="1" si="281"/>
        <v>0</v>
      </c>
      <c r="S601" s="307">
        <f t="shared" ca="1" si="282"/>
        <v>6.1519999999999921</v>
      </c>
      <c r="T601" s="304">
        <f t="shared" ca="1" si="262"/>
        <v>60.351119999999923</v>
      </c>
      <c r="U601" s="311">
        <f t="shared" ca="1" si="263"/>
        <v>0</v>
      </c>
      <c r="V601" s="306">
        <f t="shared" ca="1" si="264"/>
        <v>1.0214883341580105</v>
      </c>
      <c r="W601" s="304">
        <f t="shared" ca="1" si="265"/>
        <v>5.5648217909139301</v>
      </c>
      <c r="Y601" s="314" t="str">
        <f t="shared" ca="1" si="283"/>
        <v/>
      </c>
      <c r="Z601" s="315" t="str">
        <f t="shared" ca="1" si="284"/>
        <v/>
      </c>
      <c r="AA601" s="316" t="str">
        <f t="shared" ca="1" si="285"/>
        <v/>
      </c>
      <c r="AC601" s="310" t="e">
        <f t="shared" ca="1" si="286"/>
        <v>#N/A</v>
      </c>
      <c r="AD601" s="323" t="e">
        <f t="shared" ca="1" si="287"/>
        <v>#N/A</v>
      </c>
      <c r="AE601" s="324" t="e">
        <f t="shared" ca="1" si="266"/>
        <v>#N/A</v>
      </c>
      <c r="AG601" s="306">
        <f t="shared" ca="1" si="288"/>
        <v>8.5279827561137491</v>
      </c>
      <c r="AH601" s="304">
        <f t="shared" ca="1" si="289"/>
        <v>-0.87246520797695126</v>
      </c>
    </row>
    <row r="602" spans="1:34" x14ac:dyDescent="0.2">
      <c r="A602" s="347">
        <f t="shared" ca="1" si="267"/>
        <v>0.1</v>
      </c>
      <c r="B602" s="304">
        <f t="shared" ca="1" si="268"/>
        <v>23.800000000000026</v>
      </c>
      <c r="D602" s="306">
        <f t="shared" ca="1" si="269"/>
        <v>-0.25359876444777152</v>
      </c>
      <c r="E602" s="307">
        <f t="shared" ca="1" si="270"/>
        <v>-8.9417216763357317</v>
      </c>
      <c r="F602" s="304">
        <f t="shared" ca="1" si="271"/>
        <v>8.9453171475572475</v>
      </c>
      <c r="G602" s="306">
        <f t="shared" ca="1" si="272"/>
        <v>13.517840903959176</v>
      </c>
      <c r="H602" s="307">
        <f t="shared" ca="1" si="273"/>
        <v>-47.263750096234126</v>
      </c>
      <c r="I602" s="304">
        <f t="shared" ca="1" si="274"/>
        <v>49.158865892776888</v>
      </c>
      <c r="J602" s="306">
        <f t="shared" ca="1" si="275"/>
        <v>391.82647763736105</v>
      </c>
      <c r="K602" s="307">
        <f t="shared" ca="1" si="276"/>
        <v>1807.1387000576501</v>
      </c>
      <c r="L602" s="304">
        <f t="shared" ca="1" si="261"/>
        <v>1849.1290571033044</v>
      </c>
      <c r="M602" s="306">
        <f t="shared" ca="1" si="277"/>
        <v>-1.2922245497418947</v>
      </c>
      <c r="N602" s="304">
        <f t="shared" ca="1" si="278"/>
        <v>-74.039012883403686</v>
      </c>
      <c r="P602" s="310">
        <f t="shared" ca="1" si="279"/>
        <v>23</v>
      </c>
      <c r="Q602" s="304">
        <f t="shared" ca="1" si="280"/>
        <v>0</v>
      </c>
      <c r="R602" s="306">
        <f t="shared" ca="1" si="281"/>
        <v>0</v>
      </c>
      <c r="S602" s="307">
        <f t="shared" ca="1" si="282"/>
        <v>6.1519999999999921</v>
      </c>
      <c r="T602" s="304">
        <f t="shared" ca="1" si="262"/>
        <v>60.351119999999923</v>
      </c>
      <c r="U602" s="311">
        <f t="shared" ca="1" si="263"/>
        <v>0</v>
      </c>
      <c r="V602" s="306">
        <f t="shared" ca="1" si="264"/>
        <v>1.0219706215914728</v>
      </c>
      <c r="W602" s="304">
        <f t="shared" ca="1" si="265"/>
        <v>5.7655631796455049</v>
      </c>
      <c r="Y602" s="314" t="str">
        <f t="shared" ca="1" si="283"/>
        <v/>
      </c>
      <c r="Z602" s="315" t="str">
        <f t="shared" ca="1" si="284"/>
        <v/>
      </c>
      <c r="AA602" s="316" t="str">
        <f t="shared" ca="1" si="285"/>
        <v/>
      </c>
      <c r="AC602" s="310" t="e">
        <f t="shared" ca="1" si="286"/>
        <v>#N/A</v>
      </c>
      <c r="AD602" s="323" t="e">
        <f t="shared" ca="1" si="287"/>
        <v>#N/A</v>
      </c>
      <c r="AE602" s="324" t="e">
        <f t="shared" ca="1" si="266"/>
        <v>#N/A</v>
      </c>
      <c r="AG602" s="306">
        <f t="shared" ca="1" si="288"/>
        <v>8.5120214490770092</v>
      </c>
      <c r="AH602" s="304">
        <f t="shared" ca="1" si="289"/>
        <v>-0.9045549074957635</v>
      </c>
    </row>
    <row r="603" spans="1:34" x14ac:dyDescent="0.2">
      <c r="A603" s="347">
        <f t="shared" ca="1" si="267"/>
        <v>0.1</v>
      </c>
      <c r="B603" s="304">
        <f t="shared" ca="1" si="268"/>
        <v>23.900000000000027</v>
      </c>
      <c r="D603" s="306">
        <f t="shared" ca="1" si="269"/>
        <v>-0.25770977067651113</v>
      </c>
      <c r="E603" s="307">
        <f t="shared" ca="1" si="270"/>
        <v>-8.9089441076314948</v>
      </c>
      <c r="F603" s="304">
        <f t="shared" ca="1" si="271"/>
        <v>8.9126707242444496</v>
      </c>
      <c r="G603" s="306">
        <f t="shared" ca="1" si="272"/>
        <v>13.492069926891524</v>
      </c>
      <c r="H603" s="307">
        <f t="shared" ca="1" si="273"/>
        <v>-48.154644506997279</v>
      </c>
      <c r="I603" s="304">
        <f t="shared" ca="1" si="274"/>
        <v>50.009056564860465</v>
      </c>
      <c r="J603" s="306">
        <f t="shared" ca="1" si="275"/>
        <v>393.17697317890361</v>
      </c>
      <c r="K603" s="307">
        <f t="shared" ca="1" si="276"/>
        <v>1802.3677803274886</v>
      </c>
      <c r="L603" s="304">
        <f t="shared" ca="1" si="261"/>
        <v>1844.7541158107665</v>
      </c>
      <c r="M603" s="306">
        <f t="shared" ca="1" si="277"/>
        <v>-1.2976187607097185</v>
      </c>
      <c r="N603" s="304">
        <f t="shared" ca="1" si="278"/>
        <v>-74.348078405663159</v>
      </c>
      <c r="P603" s="310">
        <f t="shared" ca="1" si="279"/>
        <v>23</v>
      </c>
      <c r="Q603" s="304">
        <f t="shared" ca="1" si="280"/>
        <v>0</v>
      </c>
      <c r="R603" s="306">
        <f t="shared" ca="1" si="281"/>
        <v>0</v>
      </c>
      <c r="S603" s="307">
        <f t="shared" ca="1" si="282"/>
        <v>6.1519999999999921</v>
      </c>
      <c r="T603" s="304">
        <f t="shared" ca="1" si="262"/>
        <v>60.351119999999923</v>
      </c>
      <c r="U603" s="311">
        <f t="shared" ca="1" si="263"/>
        <v>0</v>
      </c>
      <c r="V603" s="306">
        <f t="shared" ca="1" si="264"/>
        <v>1.022462316648618</v>
      </c>
      <c r="W603" s="304">
        <f t="shared" ca="1" si="265"/>
        <v>5.9695864781175318</v>
      </c>
      <c r="Y603" s="314" t="str">
        <f t="shared" ca="1" si="283"/>
        <v/>
      </c>
      <c r="Z603" s="315" t="str">
        <f t="shared" ca="1" si="284"/>
        <v/>
      </c>
      <c r="AA603" s="316" t="str">
        <f t="shared" ca="1" si="285"/>
        <v/>
      </c>
      <c r="AC603" s="310" t="e">
        <f t="shared" ca="1" si="286"/>
        <v>#N/A</v>
      </c>
      <c r="AD603" s="323" t="e">
        <f t="shared" ca="1" si="287"/>
        <v>#N/A</v>
      </c>
      <c r="AE603" s="324" t="e">
        <f t="shared" ca="1" si="266"/>
        <v>#N/A</v>
      </c>
      <c r="AG603" s="306">
        <f t="shared" ca="1" si="288"/>
        <v>8.494631042868896</v>
      </c>
      <c r="AH603" s="304">
        <f t="shared" ca="1" si="289"/>
        <v>-0.93718517224406894</v>
      </c>
    </row>
    <row r="604" spans="1:34" x14ac:dyDescent="0.2">
      <c r="A604" s="347">
        <f t="shared" ca="1" si="267"/>
        <v>0.1</v>
      </c>
      <c r="B604" s="304">
        <f t="shared" ca="1" si="268"/>
        <v>24.000000000000028</v>
      </c>
      <c r="D604" s="306">
        <f t="shared" ca="1" si="269"/>
        <v>-0.26179288734809536</v>
      </c>
      <c r="E604" s="307">
        <f t="shared" ca="1" si="270"/>
        <v>-8.8756331094473975</v>
      </c>
      <c r="F604" s="304">
        <f t="shared" ca="1" si="271"/>
        <v>8.8794931504779555</v>
      </c>
      <c r="G604" s="306">
        <f t="shared" ca="1" si="272"/>
        <v>13.465890638156715</v>
      </c>
      <c r="H604" s="307">
        <f t="shared" ca="1" si="273"/>
        <v>-49.042207817942021</v>
      </c>
      <c r="I604" s="304">
        <f t="shared" ca="1" si="274"/>
        <v>50.85733337815708</v>
      </c>
      <c r="J604" s="306">
        <f t="shared" ca="1" si="275"/>
        <v>394.52487120715602</v>
      </c>
      <c r="K604" s="307">
        <f t="shared" ca="1" si="276"/>
        <v>1797.5079377112415</v>
      </c>
      <c r="L604" s="304">
        <f t="shared" ca="1" si="261"/>
        <v>1840.2947209987708</v>
      </c>
      <c r="M604" s="306">
        <f t="shared" ca="1" si="277"/>
        <v>-1.3028228807384725</v>
      </c>
      <c r="N604" s="304">
        <f t="shared" ca="1" si="278"/>
        <v>-74.646252519390274</v>
      </c>
      <c r="P604" s="310">
        <f t="shared" ca="1" si="279"/>
        <v>23</v>
      </c>
      <c r="Q604" s="304">
        <f t="shared" ca="1" si="280"/>
        <v>0</v>
      </c>
      <c r="R604" s="306">
        <f t="shared" ca="1" si="281"/>
        <v>0</v>
      </c>
      <c r="S604" s="307">
        <f t="shared" ca="1" si="282"/>
        <v>6.1519999999999921</v>
      </c>
      <c r="T604" s="304">
        <f t="shared" ca="1" si="262"/>
        <v>60.351119999999923</v>
      </c>
      <c r="U604" s="311">
        <f t="shared" ca="1" si="263"/>
        <v>0</v>
      </c>
      <c r="V604" s="306">
        <f t="shared" ca="1" si="264"/>
        <v>1.0229633974683185</v>
      </c>
      <c r="W604" s="304">
        <f t="shared" ca="1" si="265"/>
        <v>6.1768474891809868</v>
      </c>
      <c r="Y604" s="314" t="str">
        <f t="shared" ca="1" si="283"/>
        <v/>
      </c>
      <c r="Z604" s="315" t="str">
        <f t="shared" ca="1" si="284"/>
        <v/>
      </c>
      <c r="AA604" s="316" t="str">
        <f t="shared" ca="1" si="285"/>
        <v/>
      </c>
      <c r="AC604" s="310">
        <f t="shared" ca="1" si="286"/>
        <v>24.000000000000028</v>
      </c>
      <c r="AD604" s="323">
        <f t="shared" ca="1" si="287"/>
        <v>394.52487120715602</v>
      </c>
      <c r="AE604" s="324" t="e">
        <f t="shared" ca="1" si="266"/>
        <v>#N/A</v>
      </c>
      <c r="AG604" s="306">
        <f t="shared" ca="1" si="288"/>
        <v>8.4758813369686603</v>
      </c>
      <c r="AH604" s="304">
        <f t="shared" ca="1" si="289"/>
        <v>-0.97034890736631008</v>
      </c>
    </row>
    <row r="605" spans="1:34" x14ac:dyDescent="0.2">
      <c r="A605" s="347">
        <f t="shared" ca="1" si="267"/>
        <v>0.1</v>
      </c>
      <c r="B605" s="304">
        <f t="shared" ca="1" si="268"/>
        <v>24.10000000000003</v>
      </c>
      <c r="D605" s="306">
        <f t="shared" ca="1" si="269"/>
        <v>-0.26584717506514077</v>
      </c>
      <c r="E605" s="307">
        <f t="shared" ca="1" si="270"/>
        <v>-8.8417957602882975</v>
      </c>
      <c r="F605" s="304">
        <f t="shared" ca="1" si="271"/>
        <v>8.8457914844937555</v>
      </c>
      <c r="G605" s="306">
        <f t="shared" ca="1" si="272"/>
        <v>13.439305920650201</v>
      </c>
      <c r="H605" s="307">
        <f t="shared" ca="1" si="273"/>
        <v>-49.926387393970849</v>
      </c>
      <c r="I605" s="304">
        <f t="shared" ca="1" si="274"/>
        <v>51.703569527080766</v>
      </c>
      <c r="J605" s="306">
        <f t="shared" ca="1" si="275"/>
        <v>395.87013103509639</v>
      </c>
      <c r="K605" s="307">
        <f t="shared" ca="1" si="276"/>
        <v>1792.5595079506459</v>
      </c>
      <c r="L605" s="304">
        <f t="shared" ca="1" si="261"/>
        <v>1835.7512767774413</v>
      </c>
      <c r="M605" s="306">
        <f t="shared" ca="1" si="277"/>
        <v>-1.3078466745345436</v>
      </c>
      <c r="N605" s="304">
        <f t="shared" ca="1" si="278"/>
        <v>-74.934094701049148</v>
      </c>
      <c r="P605" s="310">
        <f t="shared" ca="1" si="279"/>
        <v>23</v>
      </c>
      <c r="Q605" s="304">
        <f t="shared" ca="1" si="280"/>
        <v>0</v>
      </c>
      <c r="R605" s="306">
        <f t="shared" ca="1" si="281"/>
        <v>0</v>
      </c>
      <c r="S605" s="307">
        <f t="shared" ca="1" si="282"/>
        <v>6.1519999999999921</v>
      </c>
      <c r="T605" s="304">
        <f t="shared" ca="1" si="262"/>
        <v>60.351119999999923</v>
      </c>
      <c r="U605" s="311">
        <f t="shared" ca="1" si="263"/>
        <v>0</v>
      </c>
      <c r="V605" s="306">
        <f t="shared" ca="1" si="264"/>
        <v>1.0234738418230855</v>
      </c>
      <c r="W605" s="304">
        <f t="shared" ca="1" si="265"/>
        <v>6.3873014840238396</v>
      </c>
      <c r="Y605" s="314" t="str">
        <f t="shared" ca="1" si="283"/>
        <v/>
      </c>
      <c r="Z605" s="315" t="str">
        <f t="shared" ca="1" si="284"/>
        <v/>
      </c>
      <c r="AA605" s="316" t="str">
        <f t="shared" ca="1" si="285"/>
        <v/>
      </c>
      <c r="AC605" s="310" t="e">
        <f t="shared" ca="1" si="286"/>
        <v>#N/A</v>
      </c>
      <c r="AD605" s="323" t="e">
        <f t="shared" ca="1" si="287"/>
        <v>#N/A</v>
      </c>
      <c r="AE605" s="324" t="e">
        <f t="shared" ca="1" si="266"/>
        <v>#N/A</v>
      </c>
      <c r="AG605" s="306">
        <f t="shared" ca="1" si="288"/>
        <v>8.455836899200607</v>
      </c>
      <c r="AH605" s="304">
        <f t="shared" ca="1" si="289"/>
        <v>-1.0040389286705127</v>
      </c>
    </row>
    <row r="606" spans="1:34" x14ac:dyDescent="0.2">
      <c r="A606" s="347">
        <f t="shared" ca="1" si="267"/>
        <v>0.1</v>
      </c>
      <c r="B606" s="304">
        <f t="shared" ca="1" si="268"/>
        <v>24.200000000000031</v>
      </c>
      <c r="D606" s="306">
        <f t="shared" ca="1" si="269"/>
        <v>-0.26987173531846709</v>
      </c>
      <c r="E606" s="307">
        <f t="shared" ca="1" si="270"/>
        <v>-8.807439236539004</v>
      </c>
      <c r="F606" s="304">
        <f t="shared" ca="1" si="271"/>
        <v>8.811572882229969</v>
      </c>
      <c r="G606" s="306">
        <f t="shared" ca="1" si="272"/>
        <v>13.412318747118354</v>
      </c>
      <c r="H606" s="307">
        <f t="shared" ca="1" si="273"/>
        <v>-50.807131317624751</v>
      </c>
      <c r="I606" s="304">
        <f t="shared" ca="1" si="274"/>
        <v>52.547643970978079</v>
      </c>
      <c r="J606" s="306">
        <f t="shared" ca="1" si="275"/>
        <v>397.21271226848484</v>
      </c>
      <c r="K606" s="307">
        <f t="shared" ca="1" si="276"/>
        <v>1787.5228320150661</v>
      </c>
      <c r="L606" s="304">
        <f t="shared" ca="1" si="261"/>
        <v>1831.1241939756158</v>
      </c>
      <c r="M606" s="306">
        <f t="shared" ca="1" si="277"/>
        <v>-1.3126992665125465</v>
      </c>
      <c r="N606" s="304">
        <f t="shared" ca="1" si="278"/>
        <v>-75.212127741087755</v>
      </c>
      <c r="P606" s="310">
        <f t="shared" ca="1" si="279"/>
        <v>23</v>
      </c>
      <c r="Q606" s="304">
        <f t="shared" ca="1" si="280"/>
        <v>0</v>
      </c>
      <c r="R606" s="306">
        <f t="shared" ca="1" si="281"/>
        <v>0</v>
      </c>
      <c r="S606" s="307">
        <f t="shared" ca="1" si="282"/>
        <v>6.1519999999999921</v>
      </c>
      <c r="T606" s="304">
        <f t="shared" ca="1" si="262"/>
        <v>60.351119999999923</v>
      </c>
      <c r="U606" s="311">
        <f t="shared" ca="1" si="263"/>
        <v>0</v>
      </c>
      <c r="V606" s="306">
        <f t="shared" ca="1" si="264"/>
        <v>1.0239936271230579</v>
      </c>
      <c r="W606" s="304">
        <f t="shared" ca="1" si="265"/>
        <v>6.6009032202544349</v>
      </c>
      <c r="Y606" s="314" t="str">
        <f t="shared" ca="1" si="283"/>
        <v/>
      </c>
      <c r="Z606" s="315" t="str">
        <f t="shared" ca="1" si="284"/>
        <v/>
      </c>
      <c r="AA606" s="316" t="str">
        <f t="shared" ca="1" si="285"/>
        <v/>
      </c>
      <c r="AC606" s="310" t="e">
        <f t="shared" ca="1" si="286"/>
        <v>#N/A</v>
      </c>
      <c r="AD606" s="323" t="e">
        <f t="shared" ca="1" si="287"/>
        <v>#N/A</v>
      </c>
      <c r="AE606" s="324" t="e">
        <f t="shared" ca="1" si="266"/>
        <v>#N/A</v>
      </c>
      <c r="AG606" s="306">
        <f t="shared" ca="1" si="288"/>
        <v>8.4345575837584921</v>
      </c>
      <c r="AH606" s="304">
        <f t="shared" ca="1" si="289"/>
        <v>-1.0382479655435384</v>
      </c>
    </row>
    <row r="607" spans="1:34" x14ac:dyDescent="0.2">
      <c r="A607" s="347">
        <f t="shared" ca="1" si="267"/>
        <v>0.1</v>
      </c>
      <c r="B607" s="304">
        <f t="shared" ca="1" si="268"/>
        <v>24.300000000000033</v>
      </c>
      <c r="D607" s="306">
        <f t="shared" ca="1" si="269"/>
        <v>-0.27386570811276317</v>
      </c>
      <c r="E607" s="307">
        <f t="shared" ca="1" si="270"/>
        <v>-8.7725708083869591</v>
      </c>
      <c r="F607" s="304">
        <f t="shared" ca="1" si="271"/>
        <v>8.7768445932603321</v>
      </c>
      <c r="G607" s="306">
        <f t="shared" ca="1" si="272"/>
        <v>13.384932176307078</v>
      </c>
      <c r="H607" s="307">
        <f t="shared" ca="1" si="273"/>
        <v>-51.684388398463447</v>
      </c>
      <c r="I607" s="304">
        <f t="shared" ca="1" si="274"/>
        <v>53.389441029922423</v>
      </c>
      <c r="J607" s="306">
        <f t="shared" ca="1" si="275"/>
        <v>398.55257481465611</v>
      </c>
      <c r="K607" s="307">
        <f t="shared" ca="1" si="276"/>
        <v>1782.3982560292618</v>
      </c>
      <c r="L607" s="304">
        <f t="shared" ca="1" si="261"/>
        <v>1826.4138901102199</v>
      </c>
      <c r="M607" s="306">
        <f t="shared" ca="1" si="277"/>
        <v>-1.3173891909196398</v>
      </c>
      <c r="N607" s="304">
        <f t="shared" ca="1" si="278"/>
        <v>-75.480840615849601</v>
      </c>
      <c r="P607" s="310">
        <f t="shared" ca="1" si="279"/>
        <v>23</v>
      </c>
      <c r="Q607" s="304">
        <f t="shared" ca="1" si="280"/>
        <v>0</v>
      </c>
      <c r="R607" s="306">
        <f t="shared" ca="1" si="281"/>
        <v>0</v>
      </c>
      <c r="S607" s="307">
        <f t="shared" ca="1" si="282"/>
        <v>6.1519999999999921</v>
      </c>
      <c r="T607" s="304">
        <f t="shared" ca="1" si="262"/>
        <v>60.351119999999923</v>
      </c>
      <c r="U607" s="311">
        <f t="shared" ca="1" si="263"/>
        <v>0</v>
      </c>
      <c r="V607" s="306">
        <f t="shared" ca="1" si="264"/>
        <v>1.0245227304200557</v>
      </c>
      <c r="W607" s="304">
        <f t="shared" ca="1" si="265"/>
        <v>6.8176069601196545</v>
      </c>
      <c r="Y607" s="314" t="str">
        <f t="shared" ca="1" si="283"/>
        <v/>
      </c>
      <c r="Z607" s="315" t="str">
        <f t="shared" ca="1" si="284"/>
        <v/>
      </c>
      <c r="AA607" s="316" t="str">
        <f t="shared" ca="1" si="285"/>
        <v/>
      </c>
      <c r="AC607" s="310" t="e">
        <f t="shared" ca="1" si="286"/>
        <v>#N/A</v>
      </c>
      <c r="AD607" s="323" t="e">
        <f t="shared" ca="1" si="287"/>
        <v>#N/A</v>
      </c>
      <c r="AE607" s="324" t="e">
        <f t="shared" ca="1" si="266"/>
        <v>#N/A</v>
      </c>
      <c r="AG607" s="306">
        <f t="shared" ca="1" si="288"/>
        <v>8.4120989920670723</v>
      </c>
      <c r="AH607" s="304">
        <f t="shared" ca="1" si="289"/>
        <v>-1.0729686638905143</v>
      </c>
    </row>
    <row r="608" spans="1:34" x14ac:dyDescent="0.2">
      <c r="A608" s="347">
        <f t="shared" ca="1" si="267"/>
        <v>0.1</v>
      </c>
      <c r="B608" s="304">
        <f t="shared" ca="1" si="268"/>
        <v>24.400000000000034</v>
      </c>
      <c r="D608" s="306">
        <f t="shared" ca="1" si="269"/>
        <v>-0.27782826982506365</v>
      </c>
      <c r="E608" s="307">
        <f t="shared" ca="1" si="270"/>
        <v>-8.7371978358523545</v>
      </c>
      <c r="F608" s="304">
        <f t="shared" ca="1" si="271"/>
        <v>8.7416139568352627</v>
      </c>
      <c r="G608" s="306">
        <f t="shared" ca="1" si="272"/>
        <v>13.357149349324573</v>
      </c>
      <c r="H608" s="307">
        <f t="shared" ca="1" si="273"/>
        <v>-52.558108182048684</v>
      </c>
      <c r="I608" s="304">
        <f t="shared" ca="1" si="274"/>
        <v>54.22885001930333</v>
      </c>
      <c r="J608" s="306">
        <f t="shared" ca="1" si="275"/>
        <v>399.88967889093772</v>
      </c>
      <c r="K608" s="307">
        <f t="shared" ca="1" si="276"/>
        <v>1777.1861312002361</v>
      </c>
      <c r="L608" s="304">
        <f t="shared" ca="1" si="261"/>
        <v>1821.6207893559954</v>
      </c>
      <c r="M608" s="306">
        <f t="shared" ca="1" si="277"/>
        <v>-1.3219244374761221</v>
      </c>
      <c r="N608" s="304">
        <f t="shared" ca="1" si="278"/>
        <v>-75.740691102587277</v>
      </c>
      <c r="P608" s="310">
        <f t="shared" ca="1" si="279"/>
        <v>23</v>
      </c>
      <c r="Q608" s="304">
        <f t="shared" ca="1" si="280"/>
        <v>0</v>
      </c>
      <c r="R608" s="306">
        <f t="shared" ca="1" si="281"/>
        <v>0</v>
      </c>
      <c r="S608" s="307">
        <f t="shared" ca="1" si="282"/>
        <v>6.1519999999999921</v>
      </c>
      <c r="T608" s="304">
        <f t="shared" ca="1" si="262"/>
        <v>60.351119999999923</v>
      </c>
      <c r="U608" s="311">
        <f t="shared" ca="1" si="263"/>
        <v>0</v>
      </c>
      <c r="V608" s="306">
        <f t="shared" ca="1" si="264"/>
        <v>1.0250611284116988</v>
      </c>
      <c r="W608" s="304">
        <f t="shared" ca="1" si="265"/>
        <v>7.037366488844377</v>
      </c>
      <c r="Y608" s="314" t="str">
        <f t="shared" ca="1" si="283"/>
        <v/>
      </c>
      <c r="Z608" s="315" t="str">
        <f t="shared" ca="1" si="284"/>
        <v/>
      </c>
      <c r="AA608" s="316" t="str">
        <f t="shared" ca="1" si="285"/>
        <v/>
      </c>
      <c r="AC608" s="310" t="e">
        <f t="shared" ca="1" si="286"/>
        <v>#N/A</v>
      </c>
      <c r="AD608" s="323" t="e">
        <f t="shared" ca="1" si="287"/>
        <v>#N/A</v>
      </c>
      <c r="AE608" s="324" t="e">
        <f t="shared" ca="1" si="266"/>
        <v>#N/A</v>
      </c>
      <c r="AG608" s="306">
        <f t="shared" ca="1" si="288"/>
        <v>8.3885128833458555</v>
      </c>
      <c r="AH608" s="304">
        <f t="shared" ca="1" si="289"/>
        <v>-1.108193589096174</v>
      </c>
    </row>
    <row r="609" spans="1:34" x14ac:dyDescent="0.2">
      <c r="A609" s="347">
        <f t="shared" ca="1" si="267"/>
        <v>0.1</v>
      </c>
      <c r="B609" s="304">
        <f t="shared" ca="1" si="268"/>
        <v>24.500000000000036</v>
      </c>
      <c r="D609" s="306">
        <f t="shared" ca="1" si="269"/>
        <v>-0.28175863127025447</v>
      </c>
      <c r="E609" s="307">
        <f t="shared" ca="1" si="270"/>
        <v>-8.7013277649113938</v>
      </c>
      <c r="F609" s="304">
        <f t="shared" ca="1" si="271"/>
        <v>8.7058883980162065</v>
      </c>
      <c r="G609" s="306">
        <f t="shared" ca="1" si="272"/>
        <v>13.328973486197548</v>
      </c>
      <c r="H609" s="307">
        <f t="shared" ca="1" si="273"/>
        <v>-53.428240958539824</v>
      </c>
      <c r="I609" s="304">
        <f t="shared" ca="1" si="274"/>
        <v>55.065764919045208</v>
      </c>
      <c r="J609" s="306">
        <f t="shared" ca="1" si="275"/>
        <v>401.22398503271381</v>
      </c>
      <c r="K609" s="307">
        <f t="shared" ca="1" si="276"/>
        <v>1771.8868137432066</v>
      </c>
      <c r="L609" s="304">
        <f t="shared" ca="1" si="261"/>
        <v>1816.7453225156751</v>
      </c>
      <c r="M609" s="306">
        <f t="shared" ca="1" si="277"/>
        <v>-1.3263124929753665</v>
      </c>
      <c r="N609" s="304">
        <f t="shared" ca="1" si="278"/>
        <v>-75.992108162963149</v>
      </c>
      <c r="P609" s="310">
        <f t="shared" ca="1" si="279"/>
        <v>23</v>
      </c>
      <c r="Q609" s="304">
        <f t="shared" ca="1" si="280"/>
        <v>0</v>
      </c>
      <c r="R609" s="306">
        <f t="shared" ca="1" si="281"/>
        <v>0</v>
      </c>
      <c r="S609" s="307">
        <f t="shared" ca="1" si="282"/>
        <v>6.1519999999999921</v>
      </c>
      <c r="T609" s="304">
        <f t="shared" ca="1" si="262"/>
        <v>60.351119999999923</v>
      </c>
      <c r="U609" s="311">
        <f t="shared" ca="1" si="263"/>
        <v>0</v>
      </c>
      <c r="V609" s="306">
        <f t="shared" ca="1" si="264"/>
        <v>1.0256087974455856</v>
      </c>
      <c r="W609" s="304">
        <f t="shared" ca="1" si="265"/>
        <v>7.2601351330787001</v>
      </c>
      <c r="Y609" s="314" t="str">
        <f t="shared" ca="1" si="283"/>
        <v/>
      </c>
      <c r="Z609" s="315" t="str">
        <f t="shared" ca="1" si="284"/>
        <v/>
      </c>
      <c r="AA609" s="316" t="str">
        <f t="shared" ca="1" si="285"/>
        <v/>
      </c>
      <c r="AC609" s="310" t="e">
        <f t="shared" ca="1" si="286"/>
        <v>#N/A</v>
      </c>
      <c r="AD609" s="323" t="e">
        <f t="shared" ca="1" si="287"/>
        <v>#N/A</v>
      </c>
      <c r="AE609" s="324" t="e">
        <f t="shared" ca="1" si="266"/>
        <v>#N/A</v>
      </c>
      <c r="AG609" s="306">
        <f t="shared" ca="1" si="288"/>
        <v>8.3638475408548896</v>
      </c>
      <c r="AH609" s="304">
        <f t="shared" ca="1" si="289"/>
        <v>-1.1439152290059145</v>
      </c>
    </row>
    <row r="610" spans="1:34" x14ac:dyDescent="0.2">
      <c r="A610" s="347">
        <f t="shared" ca="1" si="267"/>
        <v>0.1</v>
      </c>
      <c r="B610" s="304">
        <f t="shared" ca="1" si="268"/>
        <v>24.600000000000037</v>
      </c>
      <c r="D610" s="306">
        <f t="shared" ca="1" si="269"/>
        <v>-0.28565603595087752</v>
      </c>
      <c r="E610" s="307">
        <f t="shared" ca="1" si="270"/>
        <v>-8.664968123700671</v>
      </c>
      <c r="F610" s="304">
        <f t="shared" ca="1" si="271"/>
        <v>8.669675423891249</v>
      </c>
      <c r="G610" s="306">
        <f t="shared" ca="1" si="272"/>
        <v>13.30040788260246</v>
      </c>
      <c r="H610" s="307">
        <f t="shared" ca="1" si="273"/>
        <v>-54.29473777090989</v>
      </c>
      <c r="I610" s="304">
        <f t="shared" ca="1" si="274"/>
        <v>55.900084073778125</v>
      </c>
      <c r="J610" s="306">
        <f t="shared" ca="1" si="275"/>
        <v>402.55545410115383</v>
      </c>
      <c r="K610" s="307">
        <f t="shared" ca="1" si="276"/>
        <v>1766.5006648067342</v>
      </c>
      <c r="L610" s="304">
        <f t="shared" ca="1" si="261"/>
        <v>1811.7879269906894</v>
      </c>
      <c r="M610" s="306">
        <f t="shared" ca="1" si="277"/>
        <v>-1.3305603792392509</v>
      </c>
      <c r="N610" s="304">
        <f t="shared" ca="1" si="278"/>
        <v>-76.235494117735314</v>
      </c>
      <c r="P610" s="310">
        <f t="shared" ca="1" si="279"/>
        <v>23</v>
      </c>
      <c r="Q610" s="304">
        <f t="shared" ca="1" si="280"/>
        <v>0</v>
      </c>
      <c r="R610" s="306">
        <f t="shared" ca="1" si="281"/>
        <v>0</v>
      </c>
      <c r="S610" s="307">
        <f t="shared" ca="1" si="282"/>
        <v>6.1519999999999921</v>
      </c>
      <c r="T610" s="304">
        <f t="shared" ca="1" si="262"/>
        <v>60.351119999999923</v>
      </c>
      <c r="U610" s="311">
        <f t="shared" ca="1" si="263"/>
        <v>0</v>
      </c>
      <c r="V610" s="306">
        <f t="shared" ca="1" si="264"/>
        <v>1.026165713523528</v>
      </c>
      <c r="W610" s="304">
        <f t="shared" ca="1" si="265"/>
        <v>7.4858657794397985</v>
      </c>
      <c r="Y610" s="314" t="str">
        <f t="shared" ca="1" si="283"/>
        <v/>
      </c>
      <c r="Z610" s="315" t="str">
        <f t="shared" ca="1" si="284"/>
        <v/>
      </c>
      <c r="AA610" s="316" t="str">
        <f t="shared" ca="1" si="285"/>
        <v/>
      </c>
      <c r="AC610" s="310" t="e">
        <f t="shared" ca="1" si="286"/>
        <v>#N/A</v>
      </c>
      <c r="AD610" s="323" t="e">
        <f t="shared" ca="1" si="287"/>
        <v>#N/A</v>
      </c>
      <c r="AE610" s="324" t="e">
        <f t="shared" ca="1" si="266"/>
        <v>#N/A</v>
      </c>
      <c r="AG610" s="306">
        <f t="shared" ca="1" si="288"/>
        <v>8.3381480990375358</v>
      </c>
      <c r="AH610" s="304">
        <f t="shared" ca="1" si="289"/>
        <v>-1.1801259969243676</v>
      </c>
    </row>
    <row r="611" spans="1:34" x14ac:dyDescent="0.2">
      <c r="A611" s="347">
        <f t="shared" ca="1" si="267"/>
        <v>0.1</v>
      </c>
      <c r="B611" s="304">
        <f t="shared" ca="1" si="268"/>
        <v>24.700000000000038</v>
      </c>
      <c r="D611" s="306">
        <f t="shared" ca="1" si="269"/>
        <v>-0.28951975847117689</v>
      </c>
      <c r="E611" s="307">
        <f t="shared" ca="1" si="270"/>
        <v>-8.6281265187926</v>
      </c>
      <c r="F611" s="304">
        <f t="shared" ca="1" si="271"/>
        <v>8.6329826198618811</v>
      </c>
      <c r="G611" s="306">
        <f t="shared" ca="1" si="272"/>
        <v>13.271455906755342</v>
      </c>
      <c r="H611" s="307">
        <f t="shared" ca="1" si="273"/>
        <v>-55.15755042278915</v>
      </c>
      <c r="I611" s="304">
        <f t="shared" ca="1" si="274"/>
        <v>56.731709920709058</v>
      </c>
      <c r="J611" s="306">
        <f t="shared" ca="1" si="275"/>
        <v>403.88404729062171</v>
      </c>
      <c r="K611" s="307">
        <f t="shared" ca="1" si="276"/>
        <v>1761.0280503970494</v>
      </c>
      <c r="L611" s="304">
        <f t="shared" ca="1" si="261"/>
        <v>1806.7490467525051</v>
      </c>
      <c r="M611" s="306">
        <f t="shared" ca="1" si="277"/>
        <v>-1.3346746877834721</v>
      </c>
      <c r="N611" s="304">
        <f t="shared" ca="1" si="278"/>
        <v>-76.471226632933806</v>
      </c>
      <c r="P611" s="310">
        <f t="shared" ca="1" si="279"/>
        <v>23</v>
      </c>
      <c r="Q611" s="304">
        <f t="shared" ca="1" si="280"/>
        <v>0</v>
      </c>
      <c r="R611" s="306">
        <f t="shared" ca="1" si="281"/>
        <v>0</v>
      </c>
      <c r="S611" s="307">
        <f t="shared" ca="1" si="282"/>
        <v>6.1519999999999921</v>
      </c>
      <c r="T611" s="304">
        <f t="shared" ca="1" si="262"/>
        <v>60.351119999999923</v>
      </c>
      <c r="U611" s="311">
        <f t="shared" ca="1" si="263"/>
        <v>0</v>
      </c>
      <c r="V611" s="306">
        <f t="shared" ca="1" si="264"/>
        <v>1.0267318523058451</v>
      </c>
      <c r="W611" s="304">
        <f t="shared" ca="1" si="265"/>
        <v>7.7145108931354454</v>
      </c>
      <c r="Y611" s="314" t="str">
        <f t="shared" ca="1" si="283"/>
        <v/>
      </c>
      <c r="Z611" s="315" t="str">
        <f t="shared" ca="1" si="284"/>
        <v/>
      </c>
      <c r="AA611" s="316" t="str">
        <f t="shared" ca="1" si="285"/>
        <v/>
      </c>
      <c r="AC611" s="310" t="e">
        <f t="shared" ca="1" si="286"/>
        <v>#N/A</v>
      </c>
      <c r="AD611" s="323" t="e">
        <f t="shared" ca="1" si="287"/>
        <v>#N/A</v>
      </c>
      <c r="AE611" s="324" t="e">
        <f t="shared" ca="1" si="266"/>
        <v>#N/A</v>
      </c>
      <c r="AG611" s="306">
        <f t="shared" ca="1" si="288"/>
        <v>8.3114568361137877</v>
      </c>
      <c r="AH611" s="304">
        <f t="shared" ca="1" si="289"/>
        <v>-1.2168182346293577</v>
      </c>
    </row>
    <row r="612" spans="1:34" x14ac:dyDescent="0.2">
      <c r="A612" s="347">
        <f t="shared" ca="1" si="267"/>
        <v>0.1</v>
      </c>
      <c r="B612" s="304">
        <f t="shared" ca="1" si="268"/>
        <v>24.80000000000004</v>
      </c>
      <c r="D612" s="306">
        <f t="shared" ca="1" si="269"/>
        <v>-0.29334910309766238</v>
      </c>
      <c r="E612" s="307">
        <f t="shared" ca="1" si="270"/>
        <v>-8.5908106315334063</v>
      </c>
      <c r="F612" s="304">
        <f t="shared" ca="1" si="271"/>
        <v>8.595817645992474</v>
      </c>
      <c r="G612" s="306">
        <f t="shared" ca="1" si="272"/>
        <v>13.242120996445577</v>
      </c>
      <c r="H612" s="307">
        <f t="shared" ca="1" si="273"/>
        <v>-56.01663148594249</v>
      </c>
      <c r="I612" s="304">
        <f t="shared" ca="1" si="274"/>
        <v>57.560548742314715</v>
      </c>
      <c r="J612" s="306">
        <f t="shared" ca="1" si="275"/>
        <v>405.20972613578175</v>
      </c>
      <c r="K612" s="307">
        <f t="shared" ca="1" si="276"/>
        <v>1755.4693413016128</v>
      </c>
      <c r="L612" s="304">
        <f t="shared" ca="1" si="261"/>
        <v>1801.6291323146818</v>
      </c>
      <c r="M612" s="306">
        <f t="shared" ca="1" si="277"/>
        <v>-1.3386616115099568</v>
      </c>
      <c r="N612" s="304">
        <f t="shared" ca="1" si="278"/>
        <v>-76.699660535701952</v>
      </c>
      <c r="P612" s="310">
        <f t="shared" ca="1" si="279"/>
        <v>23</v>
      </c>
      <c r="Q612" s="304">
        <f t="shared" ca="1" si="280"/>
        <v>0</v>
      </c>
      <c r="R612" s="306">
        <f t="shared" ca="1" si="281"/>
        <v>0</v>
      </c>
      <c r="S612" s="307">
        <f t="shared" ca="1" si="282"/>
        <v>6.1519999999999921</v>
      </c>
      <c r="T612" s="304">
        <f t="shared" ca="1" si="262"/>
        <v>60.351119999999923</v>
      </c>
      <c r="U612" s="311">
        <f t="shared" ca="1" si="263"/>
        <v>0</v>
      </c>
      <c r="V612" s="306">
        <f t="shared" ca="1" si="264"/>
        <v>1.027307189115708</v>
      </c>
      <c r="W612" s="304">
        <f t="shared" ca="1" si="265"/>
        <v>7.9460225366563559</v>
      </c>
      <c r="Y612" s="314" t="str">
        <f t="shared" ca="1" si="283"/>
        <v/>
      </c>
      <c r="Z612" s="315" t="str">
        <f t="shared" ca="1" si="284"/>
        <v/>
      </c>
      <c r="AA612" s="316" t="str">
        <f t="shared" ca="1" si="285"/>
        <v/>
      </c>
      <c r="AC612" s="310" t="e">
        <f t="shared" ca="1" si="286"/>
        <v>#N/A</v>
      </c>
      <c r="AD612" s="323" t="e">
        <f t="shared" ca="1" si="287"/>
        <v>#N/A</v>
      </c>
      <c r="AE612" s="324" t="e">
        <f t="shared" ca="1" si="266"/>
        <v>#N/A</v>
      </c>
      <c r="AG612" s="306">
        <f t="shared" ca="1" si="288"/>
        <v>8.2838134361051612</v>
      </c>
      <c r="AH612" s="304">
        <f t="shared" ca="1" si="289"/>
        <v>-1.2539842153991312</v>
      </c>
    </row>
    <row r="613" spans="1:34" x14ac:dyDescent="0.2">
      <c r="A613" s="347">
        <f t="shared" ca="1" si="267"/>
        <v>0.1</v>
      </c>
      <c r="B613" s="304">
        <f t="shared" ca="1" si="268"/>
        <v>24.900000000000041</v>
      </c>
      <c r="D613" s="306">
        <f t="shared" ca="1" si="269"/>
        <v>-0.29714340245049936</v>
      </c>
      <c r="E613" s="307">
        <f t="shared" ca="1" si="270"/>
        <v>-8.5530282144366048</v>
      </c>
      <c r="F613" s="304">
        <f t="shared" ca="1" si="271"/>
        <v>8.5581882334153221</v>
      </c>
      <c r="G613" s="306">
        <f t="shared" ca="1" si="272"/>
        <v>13.212406656200526</v>
      </c>
      <c r="H613" s="307">
        <f t="shared" ca="1" si="273"/>
        <v>-56.871934307386148</v>
      </c>
      <c r="I613" s="304">
        <f t="shared" ca="1" si="274"/>
        <v>58.386510441303628</v>
      </c>
      <c r="J613" s="306">
        <f t="shared" ca="1" si="275"/>
        <v>406.53245251841406</v>
      </c>
      <c r="K613" s="307">
        <f t="shared" ca="1" si="276"/>
        <v>1749.8249130119464</v>
      </c>
      <c r="L613" s="304">
        <f t="shared" ca="1" si="261"/>
        <v>1796.4286407057482</v>
      </c>
      <c r="M613" s="306">
        <f t="shared" ca="1" si="277"/>
        <v>-1.3425269737104877</v>
      </c>
      <c r="N613" s="304">
        <f t="shared" ca="1" si="278"/>
        <v>-76.921129476081774</v>
      </c>
      <c r="P613" s="310">
        <f t="shared" ca="1" si="279"/>
        <v>23</v>
      </c>
      <c r="Q613" s="304">
        <f t="shared" ca="1" si="280"/>
        <v>0</v>
      </c>
      <c r="R613" s="306">
        <f t="shared" ca="1" si="281"/>
        <v>0</v>
      </c>
      <c r="S613" s="307">
        <f t="shared" ca="1" si="282"/>
        <v>6.1519999999999921</v>
      </c>
      <c r="T613" s="304">
        <f t="shared" ca="1" si="262"/>
        <v>60.351119999999923</v>
      </c>
      <c r="U613" s="311">
        <f t="shared" ca="1" si="263"/>
        <v>0</v>
      </c>
      <c r="V613" s="306">
        <f t="shared" ca="1" si="264"/>
        <v>1.0278916989435392</v>
      </c>
      <c r="W613" s="304">
        <f t="shared" ca="1" si="265"/>
        <v>8.1803523885247706</v>
      </c>
      <c r="Y613" s="314" t="str">
        <f t="shared" ca="1" si="283"/>
        <v/>
      </c>
      <c r="Z613" s="315" t="str">
        <f t="shared" ca="1" si="284"/>
        <v/>
      </c>
      <c r="AA613" s="316" t="str">
        <f t="shared" ca="1" si="285"/>
        <v/>
      </c>
      <c r="AC613" s="310" t="e">
        <f t="shared" ca="1" si="286"/>
        <v>#N/A</v>
      </c>
      <c r="AD613" s="323" t="e">
        <f t="shared" ca="1" si="287"/>
        <v>#N/A</v>
      </c>
      <c r="AE613" s="324" t="e">
        <f t="shared" ca="1" si="266"/>
        <v>#N/A</v>
      </c>
      <c r="AG613" s="306">
        <f t="shared" ca="1" si="288"/>
        <v>8.2552552237762153</v>
      </c>
      <c r="AH613" s="304">
        <f t="shared" ca="1" si="289"/>
        <v>-1.2916161470507748</v>
      </c>
    </row>
    <row r="614" spans="1:34" x14ac:dyDescent="0.2">
      <c r="A614" s="347">
        <f t="shared" ca="1" si="267"/>
        <v>0.1</v>
      </c>
      <c r="B614" s="304">
        <f t="shared" ca="1" si="268"/>
        <v>25.000000000000043</v>
      </c>
      <c r="D614" s="306">
        <f t="shared" ca="1" si="269"/>
        <v>-0.30090201631182012</v>
      </c>
      <c r="E614" s="307">
        <f t="shared" ca="1" si="270"/>
        <v>-8.5147870876260949</v>
      </c>
      <c r="F614" s="304">
        <f t="shared" ca="1" si="271"/>
        <v>8.5201021807854289</v>
      </c>
      <c r="G614" s="306">
        <f t="shared" ca="1" si="272"/>
        <v>13.182316454569344</v>
      </c>
      <c r="H614" s="307">
        <f t="shared" ca="1" si="273"/>
        <v>-57.723413016148754</v>
      </c>
      <c r="I614" s="304">
        <f t="shared" ca="1" si="274"/>
        <v>59.209508335581546</v>
      </c>
      <c r="J614" s="306">
        <f t="shared" ca="1" si="275"/>
        <v>407.85218867395258</v>
      </c>
      <c r="K614" s="307">
        <f t="shared" ca="1" si="276"/>
        <v>1744.0951456457697</v>
      </c>
      <c r="L614" s="304">
        <f t="shared" ca="1" si="261"/>
        <v>1791.1480354429871</v>
      </c>
      <c r="M614" s="306">
        <f t="shared" ca="1" si="277"/>
        <v>-1.3462762546361959</v>
      </c>
      <c r="N614" s="304">
        <f t="shared" ca="1" si="278"/>
        <v>-77.135947449333756</v>
      </c>
      <c r="P614" s="310">
        <f t="shared" ca="1" si="279"/>
        <v>23</v>
      </c>
      <c r="Q614" s="304">
        <f t="shared" ca="1" si="280"/>
        <v>0</v>
      </c>
      <c r="R614" s="306">
        <f t="shared" ca="1" si="281"/>
        <v>0</v>
      </c>
      <c r="S614" s="307">
        <f t="shared" ca="1" si="282"/>
        <v>6.1519999999999921</v>
      </c>
      <c r="T614" s="304">
        <f t="shared" ca="1" si="262"/>
        <v>60.351119999999923</v>
      </c>
      <c r="U614" s="311">
        <f t="shared" ca="1" si="263"/>
        <v>0</v>
      </c>
      <c r="V614" s="306">
        <f t="shared" ca="1" si="264"/>
        <v>1.0284853564514593</v>
      </c>
      <c r="W614" s="304">
        <f t="shared" ca="1" si="265"/>
        <v>8.4174517620868468</v>
      </c>
      <c r="Y614" s="314" t="str">
        <f t="shared" ca="1" si="283"/>
        <v/>
      </c>
      <c r="Z614" s="315" t="str">
        <f t="shared" ca="1" si="284"/>
        <v/>
      </c>
      <c r="AA614" s="316" t="str">
        <f t="shared" ca="1" si="285"/>
        <v/>
      </c>
      <c r="AC614" s="310">
        <f t="shared" ca="1" si="286"/>
        <v>25.000000000000043</v>
      </c>
      <c r="AD614" s="323">
        <f t="shared" ca="1" si="287"/>
        <v>407.85218867395258</v>
      </c>
      <c r="AE614" s="324" t="e">
        <f t="shared" ca="1" si="266"/>
        <v>#N/A</v>
      </c>
      <c r="AG614" s="306">
        <f t="shared" ca="1" si="288"/>
        <v>8.2258173755476314</v>
      </c>
      <c r="AH614" s="304">
        <f t="shared" ca="1" si="289"/>
        <v>-1.3297061749877732</v>
      </c>
    </row>
    <row r="615" spans="1:34" x14ac:dyDescent="0.2">
      <c r="A615" s="347">
        <f t="shared" ca="1" si="267"/>
        <v>0.1</v>
      </c>
      <c r="B615" s="304">
        <f t="shared" ca="1" si="268"/>
        <v>25.100000000000044</v>
      </c>
      <c r="D615" s="306">
        <f t="shared" ca="1" si="269"/>
        <v>-0.30462433053862947</v>
      </c>
      <c r="E615" s="307">
        <f t="shared" ca="1" si="270"/>
        <v>-8.4760951353239555</v>
      </c>
      <c r="F615" s="304">
        <f t="shared" ca="1" si="271"/>
        <v>8.4815673507800735</v>
      </c>
      <c r="G615" s="306">
        <f t="shared" ca="1" si="272"/>
        <v>13.151854021515481</v>
      </c>
      <c r="H615" s="307">
        <f t="shared" ca="1" si="273"/>
        <v>-58.571022529681152</v>
      </c>
      <c r="I615" s="304">
        <f t="shared" ca="1" si="274"/>
        <v>60.029458971205713</v>
      </c>
      <c r="J615" s="306">
        <f t="shared" ca="1" si="275"/>
        <v>409.16889719775685</v>
      </c>
      <c r="K615" s="307">
        <f t="shared" ca="1" si="276"/>
        <v>1738.2804238684782</v>
      </c>
      <c r="L615" s="304">
        <f t="shared" ca="1" si="261"/>
        <v>1785.7877865072335</v>
      </c>
      <c r="M615" s="306">
        <f t="shared" ca="1" si="277"/>
        <v>-1.3499146158613482</v>
      </c>
      <c r="N615" s="304">
        <f t="shared" ca="1" si="278"/>
        <v>-77.344410191879021</v>
      </c>
      <c r="P615" s="310">
        <f t="shared" ca="1" si="279"/>
        <v>23</v>
      </c>
      <c r="Q615" s="304">
        <f t="shared" ca="1" si="280"/>
        <v>0</v>
      </c>
      <c r="R615" s="306">
        <f t="shared" ca="1" si="281"/>
        <v>0</v>
      </c>
      <c r="S615" s="307">
        <f t="shared" ca="1" si="282"/>
        <v>6.1519999999999921</v>
      </c>
      <c r="T615" s="304">
        <f t="shared" ca="1" si="262"/>
        <v>60.351119999999923</v>
      </c>
      <c r="U615" s="311">
        <f t="shared" ca="1" si="263"/>
        <v>0</v>
      </c>
      <c r="V615" s="306">
        <f t="shared" ca="1" si="264"/>
        <v>1.0290881359777819</v>
      </c>
      <c r="W615" s="304">
        <f t="shared" ca="1" si="265"/>
        <v>8.6572716243365981</v>
      </c>
      <c r="Y615" s="314" t="str">
        <f t="shared" ca="1" si="283"/>
        <v/>
      </c>
      <c r="Z615" s="315" t="str">
        <f t="shared" ca="1" si="284"/>
        <v/>
      </c>
      <c r="AA615" s="316" t="str">
        <f t="shared" ca="1" si="285"/>
        <v/>
      </c>
      <c r="AC615" s="310" t="e">
        <f t="shared" ca="1" si="286"/>
        <v>#N/A</v>
      </c>
      <c r="AD615" s="323" t="e">
        <f t="shared" ca="1" si="287"/>
        <v>#N/A</v>
      </c>
      <c r="AE615" s="324" t="e">
        <f t="shared" ca="1" si="266"/>
        <v>#N/A</v>
      </c>
      <c r="AG615" s="306">
        <f t="shared" ca="1" si="288"/>
        <v>8.1955331090621897</v>
      </c>
      <c r="AH615" s="304">
        <f t="shared" ca="1" si="289"/>
        <v>-1.3682463852546907</v>
      </c>
    </row>
    <row r="616" spans="1:34" x14ac:dyDescent="0.2">
      <c r="A616" s="347">
        <f t="shared" ca="1" si="267"/>
        <v>0.1</v>
      </c>
      <c r="B616" s="304">
        <f t="shared" ca="1" si="268"/>
        <v>25.200000000000045</v>
      </c>
      <c r="D616" s="306">
        <f t="shared" ca="1" si="269"/>
        <v>-0.30830975606933764</v>
      </c>
      <c r="E616" s="307">
        <f t="shared" ca="1" si="270"/>
        <v>-8.4369603023789601</v>
      </c>
      <c r="F616" s="304">
        <f t="shared" ca="1" si="271"/>
        <v>8.4425916666392204</v>
      </c>
      <c r="G616" s="306">
        <f t="shared" ca="1" si="272"/>
        <v>13.121023045908547</v>
      </c>
      <c r="H616" s="307">
        <f t="shared" ca="1" si="273"/>
        <v>-59.414718559919045</v>
      </c>
      <c r="I616" s="304">
        <f t="shared" ca="1" si="274"/>
        <v>60.846281951534657</v>
      </c>
      <c r="J616" s="306">
        <f t="shared" ca="1" si="275"/>
        <v>410.48254105112807</v>
      </c>
      <c r="K616" s="307">
        <f t="shared" ca="1" si="276"/>
        <v>1732.3811368139982</v>
      </c>
      <c r="L616" s="304">
        <f t="shared" ca="1" si="261"/>
        <v>1780.3483703187844</v>
      </c>
      <c r="M616" s="306">
        <f t="shared" ca="1" si="277"/>
        <v>-1.3534469226464825</v>
      </c>
      <c r="N616" s="304">
        <f t="shared" ca="1" si="278"/>
        <v>-77.546796462612647</v>
      </c>
      <c r="P616" s="310">
        <f t="shared" ca="1" si="279"/>
        <v>23</v>
      </c>
      <c r="Q616" s="304">
        <f t="shared" ca="1" si="280"/>
        <v>0</v>
      </c>
      <c r="R616" s="306">
        <f t="shared" ca="1" si="281"/>
        <v>0</v>
      </c>
      <c r="S616" s="307">
        <f t="shared" ca="1" si="282"/>
        <v>6.1519999999999921</v>
      </c>
      <c r="T616" s="304">
        <f t="shared" ca="1" si="262"/>
        <v>60.351119999999923</v>
      </c>
      <c r="U616" s="311">
        <f t="shared" ca="1" si="263"/>
        <v>0</v>
      </c>
      <c r="V616" s="306">
        <f t="shared" ca="1" si="264"/>
        <v>1.0297000115415553</v>
      </c>
      <c r="W616" s="304">
        <f t="shared" ca="1" si="265"/>
        <v>8.8997626147592452</v>
      </c>
      <c r="Y616" s="314" t="str">
        <f t="shared" ca="1" si="283"/>
        <v/>
      </c>
      <c r="Z616" s="315" t="str">
        <f t="shared" ca="1" si="284"/>
        <v/>
      </c>
      <c r="AA616" s="316" t="str">
        <f t="shared" ca="1" si="285"/>
        <v/>
      </c>
      <c r="AC616" s="310" t="e">
        <f t="shared" ca="1" si="286"/>
        <v>#N/A</v>
      </c>
      <c r="AD616" s="323" t="e">
        <f t="shared" ca="1" si="287"/>
        <v>#N/A</v>
      </c>
      <c r="AE616" s="324" t="e">
        <f t="shared" ca="1" si="266"/>
        <v>#N/A</v>
      </c>
      <c r="AG616" s="306">
        <f t="shared" ca="1" si="288"/>
        <v>8.1644338537603627</v>
      </c>
      <c r="AH616" s="304">
        <f t="shared" ca="1" si="289"/>
        <v>-1.4072288075969781</v>
      </c>
    </row>
    <row r="617" spans="1:34" x14ac:dyDescent="0.2">
      <c r="A617" s="347">
        <f t="shared" ca="1" si="267"/>
        <v>0.1</v>
      </c>
      <c r="B617" s="304">
        <f t="shared" ca="1" si="268"/>
        <v>25.300000000000047</v>
      </c>
      <c r="D617" s="306">
        <f t="shared" ca="1" si="269"/>
        <v>-0.31195772801417399</v>
      </c>
      <c r="E617" s="307">
        <f t="shared" ca="1" si="270"/>
        <v>-8.3973905908325079</v>
      </c>
      <c r="F617" s="304">
        <f t="shared" ca="1" si="271"/>
        <v>8.4031831087433826</v>
      </c>
      <c r="G617" s="306">
        <f t="shared" ca="1" si="272"/>
        <v>13.089827273107129</v>
      </c>
      <c r="H617" s="307">
        <f t="shared" ca="1" si="273"/>
        <v>-60.254457619002295</v>
      </c>
      <c r="I617" s="304">
        <f t="shared" ca="1" si="274"/>
        <v>61.659899780975337</v>
      </c>
      <c r="J617" s="306">
        <f t="shared" ca="1" si="275"/>
        <v>411.79308356707884</v>
      </c>
      <c r="K617" s="307">
        <f t="shared" ca="1" si="276"/>
        <v>1726.3976780050521</v>
      </c>
      <c r="L617" s="304">
        <f t="shared" ca="1" si="261"/>
        <v>1774.8302697145207</v>
      </c>
      <c r="M617" s="306">
        <f t="shared" ca="1" si="277"/>
        <v>-1.35687776448513</v>
      </c>
      <c r="N617" s="304">
        <f t="shared" ca="1" si="278"/>
        <v>-77.743369220144046</v>
      </c>
      <c r="P617" s="310">
        <f t="shared" ca="1" si="279"/>
        <v>23</v>
      </c>
      <c r="Q617" s="304">
        <f t="shared" ca="1" si="280"/>
        <v>0</v>
      </c>
      <c r="R617" s="306">
        <f t="shared" ca="1" si="281"/>
        <v>0</v>
      </c>
      <c r="S617" s="307">
        <f t="shared" ca="1" si="282"/>
        <v>6.1519999999999921</v>
      </c>
      <c r="T617" s="304">
        <f t="shared" ca="1" si="262"/>
        <v>60.351119999999923</v>
      </c>
      <c r="U617" s="311">
        <f t="shared" ca="1" si="263"/>
        <v>0</v>
      </c>
      <c r="V617" s="306">
        <f t="shared" ca="1" si="264"/>
        <v>1.0303209568471479</v>
      </c>
      <c r="W617" s="304">
        <f t="shared" ca="1" si="265"/>
        <v>9.1448750641821643</v>
      </c>
      <c r="Y617" s="314" t="str">
        <f t="shared" ca="1" si="283"/>
        <v/>
      </c>
      <c r="Z617" s="315" t="str">
        <f t="shared" ca="1" si="284"/>
        <v/>
      </c>
      <c r="AA617" s="316" t="str">
        <f t="shared" ca="1" si="285"/>
        <v/>
      </c>
      <c r="AC617" s="310" t="e">
        <f t="shared" ca="1" si="286"/>
        <v>#N/A</v>
      </c>
      <c r="AD617" s="323" t="e">
        <f t="shared" ca="1" si="287"/>
        <v>#N/A</v>
      </c>
      <c r="AE617" s="324" t="e">
        <f t="shared" ca="1" si="266"/>
        <v>#N/A</v>
      </c>
      <c r="AG617" s="306">
        <f t="shared" ca="1" si="288"/>
        <v>8.1325494045396134</v>
      </c>
      <c r="AH617" s="304">
        <f t="shared" ca="1" si="289"/>
        <v>-1.4466454185239364</v>
      </c>
    </row>
    <row r="618" spans="1:34" x14ac:dyDescent="0.2">
      <c r="A618" s="347">
        <f t="shared" ca="1" si="267"/>
        <v>0.1</v>
      </c>
      <c r="B618" s="304">
        <f t="shared" ca="1" si="268"/>
        <v>25.400000000000048</v>
      </c>
      <c r="D618" s="306">
        <f t="shared" ca="1" si="269"/>
        <v>-0.31556770482080088</v>
      </c>
      <c r="E618" s="307">
        <f t="shared" ca="1" si="270"/>
        <v>-8.3573940565193308</v>
      </c>
      <c r="F618" s="304">
        <f t="shared" ca="1" si="271"/>
        <v>8.3633497112263875</v>
      </c>
      <c r="G618" s="306">
        <f t="shared" ca="1" si="272"/>
        <v>13.058270502625049</v>
      </c>
      <c r="H618" s="307">
        <f t="shared" ca="1" si="273"/>
        <v>-61.090197024654231</v>
      </c>
      <c r="I618" s="304">
        <f t="shared" ca="1" si="274"/>
        <v>62.470237721900816</v>
      </c>
      <c r="J618" s="306">
        <f t="shared" ca="1" si="275"/>
        <v>413.10048845586545</v>
      </c>
      <c r="K618" s="307">
        <f t="shared" ca="1" si="276"/>
        <v>1720.3304452728692</v>
      </c>
      <c r="L618" s="304">
        <f t="shared" ca="1" si="261"/>
        <v>1769.2339739263496</v>
      </c>
      <c r="M618" s="306">
        <f t="shared" ca="1" si="277"/>
        <v>-1.3602114739997888</v>
      </c>
      <c r="N618" s="304">
        <f t="shared" ca="1" si="278"/>
        <v>-77.934376705456614</v>
      </c>
      <c r="P618" s="310">
        <f t="shared" ca="1" si="279"/>
        <v>23</v>
      </c>
      <c r="Q618" s="304">
        <f t="shared" ca="1" si="280"/>
        <v>0</v>
      </c>
      <c r="R618" s="306">
        <f t="shared" ca="1" si="281"/>
        <v>0</v>
      </c>
      <c r="S618" s="307">
        <f t="shared" ca="1" si="282"/>
        <v>6.1519999999999921</v>
      </c>
      <c r="T618" s="304">
        <f t="shared" ca="1" si="262"/>
        <v>60.351119999999923</v>
      </c>
      <c r="U618" s="311">
        <f t="shared" ca="1" si="263"/>
        <v>0</v>
      </c>
      <c r="V618" s="306">
        <f t="shared" ca="1" si="264"/>
        <v>1.0309509452888721</v>
      </c>
      <c r="W618" s="304">
        <f t="shared" ca="1" si="265"/>
        <v>9.3925590136215806</v>
      </c>
      <c r="Y618" s="314" t="str">
        <f t="shared" ca="1" si="283"/>
        <v/>
      </c>
      <c r="Z618" s="315" t="str">
        <f t="shared" ca="1" si="284"/>
        <v/>
      </c>
      <c r="AA618" s="316" t="str">
        <f t="shared" ca="1" si="285"/>
        <v/>
      </c>
      <c r="AC618" s="310" t="e">
        <f t="shared" ca="1" si="286"/>
        <v>#N/A</v>
      </c>
      <c r="AD618" s="323" t="e">
        <f t="shared" ca="1" si="287"/>
        <v>#N/A</v>
      </c>
      <c r="AE618" s="324" t="e">
        <f t="shared" ca="1" si="266"/>
        <v>#N/A</v>
      </c>
      <c r="AG618" s="306">
        <f t="shared" ca="1" si="288"/>
        <v>8.0999080603252711</v>
      </c>
      <c r="AH618" s="304">
        <f t="shared" ca="1" si="289"/>
        <v>-1.4864881443729154</v>
      </c>
    </row>
    <row r="619" spans="1:34" x14ac:dyDescent="0.2">
      <c r="A619" s="347">
        <f t="shared" ca="1" si="267"/>
        <v>0.1</v>
      </c>
      <c r="B619" s="304">
        <f t="shared" ca="1" si="268"/>
        <v>25.50000000000005</v>
      </c>
      <c r="D619" s="306">
        <f t="shared" ca="1" si="269"/>
        <v>-0.31913916750738558</v>
      </c>
      <c r="E619" s="307">
        <f t="shared" ca="1" si="270"/>
        <v>-8.3169788057008738</v>
      </c>
      <c r="F619" s="304">
        <f t="shared" ca="1" si="271"/>
        <v>8.323099558620866</v>
      </c>
      <c r="G619" s="306">
        <f t="shared" ca="1" si="272"/>
        <v>13.026356585874311</v>
      </c>
      <c r="H619" s="307">
        <f t="shared" ca="1" si="273"/>
        <v>-61.92189490522432</v>
      </c>
      <c r="I619" s="304">
        <f t="shared" ca="1" si="274"/>
        <v>63.277223663463595</v>
      </c>
      <c r="J619" s="306">
        <f t="shared" ca="1" si="275"/>
        <v>414.40471981029043</v>
      </c>
      <c r="K619" s="307">
        <f t="shared" ca="1" si="276"/>
        <v>1714.1798406763753</v>
      </c>
      <c r="L619" s="304">
        <f t="shared" ca="1" si="261"/>
        <v>1763.5599785610721</v>
      </c>
      <c r="M619" s="306">
        <f t="shared" ca="1" si="277"/>
        <v>-1.3634521443362633</v>
      </c>
      <c r="N619" s="304">
        <f t="shared" ca="1" si="278"/>
        <v>-78.120053438529837</v>
      </c>
      <c r="P619" s="310">
        <f t="shared" ca="1" si="279"/>
        <v>23</v>
      </c>
      <c r="Q619" s="304">
        <f t="shared" ca="1" si="280"/>
        <v>0</v>
      </c>
      <c r="R619" s="306">
        <f t="shared" ca="1" si="281"/>
        <v>0</v>
      </c>
      <c r="S619" s="307">
        <f t="shared" ca="1" si="282"/>
        <v>6.1519999999999921</v>
      </c>
      <c r="T619" s="304">
        <f t="shared" ca="1" si="262"/>
        <v>60.351119999999923</v>
      </c>
      <c r="U619" s="311">
        <f t="shared" ca="1" si="263"/>
        <v>0</v>
      </c>
      <c r="V619" s="306">
        <f t="shared" ca="1" si="264"/>
        <v>1.0315899499556556</v>
      </c>
      <c r="W619" s="304">
        <f t="shared" ca="1" si="265"/>
        <v>9.6427642331135228</v>
      </c>
      <c r="Y619" s="314" t="str">
        <f t="shared" ca="1" si="283"/>
        <v/>
      </c>
      <c r="Z619" s="315" t="str">
        <f t="shared" ca="1" si="284"/>
        <v/>
      </c>
      <c r="AA619" s="316" t="str">
        <f t="shared" ca="1" si="285"/>
        <v/>
      </c>
      <c r="AC619" s="310" t="e">
        <f t="shared" ca="1" si="286"/>
        <v>#N/A</v>
      </c>
      <c r="AD619" s="323" t="e">
        <f t="shared" ca="1" si="287"/>
        <v>#N/A</v>
      </c>
      <c r="AE619" s="324" t="e">
        <f t="shared" ca="1" si="266"/>
        <v>#N/A</v>
      </c>
      <c r="AG619" s="306">
        <f t="shared" ca="1" si="288"/>
        <v>8.0665367491659481</v>
      </c>
      <c r="AH619" s="304">
        <f t="shared" ca="1" si="289"/>
        <v>-1.5267488643728206</v>
      </c>
    </row>
    <row r="620" spans="1:34" x14ac:dyDescent="0.2">
      <c r="A620" s="347">
        <f t="shared" ca="1" si="267"/>
        <v>0.1</v>
      </c>
      <c r="B620" s="304">
        <f t="shared" ca="1" si="268"/>
        <v>25.600000000000051</v>
      </c>
      <c r="D620" s="306">
        <f t="shared" ca="1" si="269"/>
        <v>-0.32267161895621266</v>
      </c>
      <c r="E620" s="307">
        <f t="shared" ca="1" si="270"/>
        <v>-8.2761529917297185</v>
      </c>
      <c r="F620" s="304">
        <f t="shared" ca="1" si="271"/>
        <v>8.2824407825348558</v>
      </c>
      <c r="G620" s="306">
        <f t="shared" ca="1" si="272"/>
        <v>12.994089423978689</v>
      </c>
      <c r="H620" s="307">
        <f t="shared" ca="1" si="273"/>
        <v>-62.749510204397289</v>
      </c>
      <c r="I620" s="304">
        <f t="shared" ca="1" si="274"/>
        <v>64.080788001163924</v>
      </c>
      <c r="J620" s="306">
        <f t="shared" ca="1" si="275"/>
        <v>415.70574211078309</v>
      </c>
      <c r="K620" s="307">
        <f t="shared" ca="1" si="276"/>
        <v>1707.9462704208943</v>
      </c>
      <c r="L620" s="304">
        <f t="shared" ca="1" si="261"/>
        <v>1757.8087855817878</v>
      </c>
      <c r="M620" s="306">
        <f t="shared" ca="1" si="277"/>
        <v>-1.3666036451906802</v>
      </c>
      <c r="N620" s="304">
        <f t="shared" ca="1" si="278"/>
        <v>-78.300621136619796</v>
      </c>
      <c r="P620" s="310">
        <f t="shared" ca="1" si="279"/>
        <v>23</v>
      </c>
      <c r="Q620" s="304">
        <f t="shared" ca="1" si="280"/>
        <v>0</v>
      </c>
      <c r="R620" s="306">
        <f t="shared" ca="1" si="281"/>
        <v>0</v>
      </c>
      <c r="S620" s="307">
        <f t="shared" ca="1" si="282"/>
        <v>6.1519999999999921</v>
      </c>
      <c r="T620" s="304">
        <f t="shared" ca="1" si="262"/>
        <v>60.351119999999923</v>
      </c>
      <c r="U620" s="311">
        <f t="shared" ca="1" si="263"/>
        <v>0</v>
      </c>
      <c r="V620" s="306">
        <f t="shared" ca="1" si="264"/>
        <v>1.0322379436357407</v>
      </c>
      <c r="W620" s="304">
        <f t="shared" ca="1" si="265"/>
        <v>9.8954402405175426</v>
      </c>
      <c r="Y620" s="314" t="str">
        <f t="shared" ca="1" si="283"/>
        <v/>
      </c>
      <c r="Z620" s="315" t="str">
        <f t="shared" ca="1" si="284"/>
        <v/>
      </c>
      <c r="AA620" s="316" t="str">
        <f t="shared" ca="1" si="285"/>
        <v/>
      </c>
      <c r="AC620" s="310" t="e">
        <f t="shared" ca="1" si="286"/>
        <v>#N/A</v>
      </c>
      <c r="AD620" s="323" t="e">
        <f t="shared" ca="1" si="287"/>
        <v>#N/A</v>
      </c>
      <c r="AE620" s="324" t="e">
        <f t="shared" ca="1" si="266"/>
        <v>#N/A</v>
      </c>
      <c r="AG620" s="306">
        <f t="shared" ca="1" si="288"/>
        <v>8.03246114127883</v>
      </c>
      <c r="AH620" s="304">
        <f t="shared" ca="1" si="289"/>
        <v>-1.567419413705061</v>
      </c>
    </row>
    <row r="621" spans="1:34" x14ac:dyDescent="0.2">
      <c r="A621" s="347">
        <f t="shared" ca="1" si="267"/>
        <v>0.1</v>
      </c>
      <c r="B621" s="304">
        <f t="shared" ca="1" si="268"/>
        <v>25.700000000000053</v>
      </c>
      <c r="D621" s="306">
        <f t="shared" ca="1" si="269"/>
        <v>-0.32616458326166792</v>
      </c>
      <c r="E621" s="307">
        <f t="shared" ca="1" si="270"/>
        <v>-8.2349248117438094</v>
      </c>
      <c r="F621" s="304">
        <f t="shared" ca="1" si="271"/>
        <v>8.2413815583582881</v>
      </c>
      <c r="G621" s="306">
        <f t="shared" ca="1" si="272"/>
        <v>12.961472965652522</v>
      </c>
      <c r="H621" s="307">
        <f t="shared" ca="1" si="273"/>
        <v>-63.573002685571673</v>
      </c>
      <c r="I621" s="304">
        <f t="shared" ca="1" si="274"/>
        <v>64.880863526151103</v>
      </c>
      <c r="J621" s="306">
        <f t="shared" ca="1" si="275"/>
        <v>417.00352023026466</v>
      </c>
      <c r="K621" s="307">
        <f t="shared" ca="1" si="276"/>
        <v>1701.6301447763958</v>
      </c>
      <c r="L621" s="304">
        <f t="shared" ca="1" si="261"/>
        <v>1751.9809032909493</v>
      </c>
      <c r="M621" s="306">
        <f t="shared" ca="1" si="277"/>
        <v>-1.3696696375903024</v>
      </c>
      <c r="N621" s="304">
        <f t="shared" ca="1" si="278"/>
        <v>-78.476289561137335</v>
      </c>
      <c r="P621" s="310">
        <f t="shared" ca="1" si="279"/>
        <v>23</v>
      </c>
      <c r="Q621" s="304">
        <f t="shared" ca="1" si="280"/>
        <v>0</v>
      </c>
      <c r="R621" s="306">
        <f t="shared" ca="1" si="281"/>
        <v>0</v>
      </c>
      <c r="S621" s="307">
        <f t="shared" ca="1" si="282"/>
        <v>6.1519999999999921</v>
      </c>
      <c r="T621" s="304">
        <f t="shared" ca="1" si="262"/>
        <v>60.351119999999923</v>
      </c>
      <c r="U621" s="311">
        <f t="shared" ca="1" si="263"/>
        <v>0</v>
      </c>
      <c r="V621" s="306">
        <f t="shared" ca="1" si="264"/>
        <v>1.0328948988214304</v>
      </c>
      <c r="W621" s="304">
        <f t="shared" ca="1" si="265"/>
        <v>10.150536320282161</v>
      </c>
      <c r="Y621" s="314" t="str">
        <f t="shared" ca="1" si="283"/>
        <v/>
      </c>
      <c r="Z621" s="315" t="str">
        <f t="shared" ca="1" si="284"/>
        <v/>
      </c>
      <c r="AA621" s="316" t="str">
        <f t="shared" ca="1" si="285"/>
        <v/>
      </c>
      <c r="AC621" s="310" t="e">
        <f t="shared" ca="1" si="286"/>
        <v>#N/A</v>
      </c>
      <c r="AD621" s="323" t="e">
        <f t="shared" ca="1" si="287"/>
        <v>#N/A</v>
      </c>
      <c r="AE621" s="324" t="e">
        <f t="shared" ca="1" si="266"/>
        <v>#N/A</v>
      </c>
      <c r="AG621" s="306">
        <f t="shared" ca="1" si="288"/>
        <v>7.9977057513059453</v>
      </c>
      <c r="AH621" s="304">
        <f t="shared" ca="1" si="289"/>
        <v>-1.6084915865600709</v>
      </c>
    </row>
    <row r="622" spans="1:34" x14ac:dyDescent="0.2">
      <c r="A622" s="347">
        <f t="shared" ca="1" si="267"/>
        <v>0.1</v>
      </c>
      <c r="B622" s="304">
        <f t="shared" ca="1" si="268"/>
        <v>25.800000000000054</v>
      </c>
      <c r="D622" s="306">
        <f t="shared" ca="1" si="269"/>
        <v>-0.3296176051270604</v>
      </c>
      <c r="E622" s="307">
        <f t="shared" ca="1" si="270"/>
        <v>-8.1933025033895603</v>
      </c>
      <c r="F622" s="304">
        <f t="shared" ca="1" si="271"/>
        <v>8.1999301019983903</v>
      </c>
      <c r="G622" s="306">
        <f t="shared" ca="1" si="272"/>
        <v>12.928511205139817</v>
      </c>
      <c r="H622" s="307">
        <f t="shared" ca="1" si="273"/>
        <v>-64.39233293591063</v>
      </c>
      <c r="I622" s="304">
        <f t="shared" ca="1" si="274"/>
        <v>65.677385323340843</v>
      </c>
      <c r="J622" s="306">
        <f t="shared" ca="1" si="275"/>
        <v>418.29801943880426</v>
      </c>
      <c r="K622" s="307">
        <f t="shared" ca="1" si="276"/>
        <v>1695.2318779953216</v>
      </c>
      <c r="L622" s="304">
        <f t="shared" ca="1" si="261"/>
        <v>1746.0768463151819</v>
      </c>
      <c r="M622" s="306">
        <f t="shared" ca="1" si="277"/>
        <v>-1.3726535875374299</v>
      </c>
      <c r="N622" s="304">
        <f t="shared" ca="1" si="278"/>
        <v>-78.647257299386027</v>
      </c>
      <c r="P622" s="310">
        <f t="shared" ca="1" si="279"/>
        <v>23</v>
      </c>
      <c r="Q622" s="304">
        <f t="shared" ca="1" si="280"/>
        <v>0</v>
      </c>
      <c r="R622" s="306">
        <f t="shared" ca="1" si="281"/>
        <v>0</v>
      </c>
      <c r="S622" s="307">
        <f t="shared" ca="1" si="282"/>
        <v>6.1519999999999921</v>
      </c>
      <c r="T622" s="304">
        <f t="shared" ca="1" si="262"/>
        <v>60.351119999999923</v>
      </c>
      <c r="U622" s="311">
        <f t="shared" ca="1" si="263"/>
        <v>0</v>
      </c>
      <c r="V622" s="306">
        <f t="shared" ca="1" si="264"/>
        <v>1.0335607877138622</v>
      </c>
      <c r="W622" s="304">
        <f t="shared" ca="1" si="265"/>
        <v>10.408001542160783</v>
      </c>
      <c r="Y622" s="314" t="str">
        <f t="shared" ca="1" si="283"/>
        <v/>
      </c>
      <c r="Z622" s="315" t="str">
        <f t="shared" ca="1" si="284"/>
        <v/>
      </c>
      <c r="AA622" s="316" t="str">
        <f t="shared" ca="1" si="285"/>
        <v/>
      </c>
      <c r="AC622" s="310" t="e">
        <f t="shared" ca="1" si="286"/>
        <v>#N/A</v>
      </c>
      <c r="AD622" s="323" t="e">
        <f t="shared" ca="1" si="287"/>
        <v>#N/A</v>
      </c>
      <c r="AE622" s="324" t="e">
        <f t="shared" ca="1" si="266"/>
        <v>#N/A</v>
      </c>
      <c r="AG622" s="306">
        <f t="shared" ca="1" si="288"/>
        <v>7.9622940308987324</v>
      </c>
      <c r="AH622" s="304">
        <f t="shared" ca="1" si="289"/>
        <v>-1.6499571391876096</v>
      </c>
    </row>
    <row r="623" spans="1:34" x14ac:dyDescent="0.2">
      <c r="A623" s="347">
        <f t="shared" ca="1" si="267"/>
        <v>0.1</v>
      </c>
      <c r="B623" s="304">
        <f t="shared" ca="1" si="268"/>
        <v>25.900000000000055</v>
      </c>
      <c r="D623" s="306">
        <f t="shared" ca="1" si="269"/>
        <v>-0.33303024930533687</v>
      </c>
      <c r="E623" s="307">
        <f t="shared" ca="1" si="270"/>
        <v>-8.1512943415732888</v>
      </c>
      <c r="F623" s="304">
        <f t="shared" ca="1" si="271"/>
        <v>8.1580946666434979</v>
      </c>
      <c r="G623" s="306">
        <f t="shared" ca="1" si="272"/>
        <v>12.895208180209282</v>
      </c>
      <c r="H623" s="307">
        <f t="shared" ca="1" si="273"/>
        <v>-65.207462370067958</v>
      </c>
      <c r="I623" s="304">
        <f t="shared" ca="1" si="274"/>
        <v>66.470290677525739</v>
      </c>
      <c r="J623" s="306">
        <f t="shared" ca="1" si="275"/>
        <v>419.58920540807173</v>
      </c>
      <c r="K623" s="307">
        <f t="shared" ca="1" si="276"/>
        <v>1688.7518882300226</v>
      </c>
      <c r="L623" s="304">
        <f t="shared" ca="1" si="261"/>
        <v>1740.0971355919887</v>
      </c>
      <c r="M623" s="306">
        <f t="shared" ca="1" si="277"/>
        <v>-1.375558778615132</v>
      </c>
      <c r="N623" s="304">
        <f t="shared" ca="1" si="278"/>
        <v>-78.813712486817423</v>
      </c>
      <c r="P623" s="310">
        <f t="shared" ca="1" si="279"/>
        <v>23</v>
      </c>
      <c r="Q623" s="304">
        <f t="shared" ca="1" si="280"/>
        <v>0</v>
      </c>
      <c r="R623" s="306">
        <f t="shared" ca="1" si="281"/>
        <v>0</v>
      </c>
      <c r="S623" s="307">
        <f t="shared" ca="1" si="282"/>
        <v>6.1519999999999921</v>
      </c>
      <c r="T623" s="304">
        <f t="shared" ca="1" si="262"/>
        <v>60.351119999999923</v>
      </c>
      <c r="U623" s="311">
        <f t="shared" ca="1" si="263"/>
        <v>0</v>
      </c>
      <c r="V623" s="306">
        <f t="shared" ca="1" si="264"/>
        <v>1.0342355822278162</v>
      </c>
      <c r="W623" s="304">
        <f t="shared" ca="1" si="265"/>
        <v>10.66778477986737</v>
      </c>
      <c r="Y623" s="314" t="str">
        <f t="shared" ca="1" si="283"/>
        <v/>
      </c>
      <c r="Z623" s="315" t="str">
        <f t="shared" ca="1" si="284"/>
        <v/>
      </c>
      <c r="AA623" s="316" t="str">
        <f t="shared" ca="1" si="285"/>
        <v/>
      </c>
      <c r="AC623" s="310" t="e">
        <f t="shared" ca="1" si="286"/>
        <v>#N/A</v>
      </c>
      <c r="AD623" s="323" t="e">
        <f t="shared" ca="1" si="287"/>
        <v>#N/A</v>
      </c>
      <c r="AE623" s="324" t="e">
        <f t="shared" ca="1" si="266"/>
        <v>#N/A</v>
      </c>
      <c r="AG623" s="306">
        <f t="shared" ca="1" si="288"/>
        <v>7.9262484526221186</v>
      </c>
      <c r="AH623" s="304">
        <f t="shared" ca="1" si="289"/>
        <v>-1.691807792939011</v>
      </c>
    </row>
    <row r="624" spans="1:34" x14ac:dyDescent="0.2">
      <c r="A624" s="347">
        <f t="shared" ca="1" si="267"/>
        <v>0.1</v>
      </c>
      <c r="B624" s="304">
        <f t="shared" ca="1" si="268"/>
        <v>26.000000000000057</v>
      </c>
      <c r="D624" s="306">
        <f t="shared" ca="1" si="269"/>
        <v>-0.33640210007924393</v>
      </c>
      <c r="E624" s="307">
        <f t="shared" ca="1" si="270"/>
        <v>-8.1089086352405726</v>
      </c>
      <c r="F624" s="304">
        <f t="shared" ca="1" si="271"/>
        <v>8.1158835395548188</v>
      </c>
      <c r="G624" s="306">
        <f t="shared" ca="1" si="272"/>
        <v>12.861567970201358</v>
      </c>
      <c r="H624" s="307">
        <f t="shared" ca="1" si="273"/>
        <v>-66.018353233592009</v>
      </c>
      <c r="I624" s="304">
        <f t="shared" ca="1" si="274"/>
        <v>67.259518986738513</v>
      </c>
      <c r="J624" s="306">
        <f t="shared" ca="1" si="275"/>
        <v>420.87704421559226</v>
      </c>
      <c r="K624" s="307">
        <f t="shared" ca="1" si="276"/>
        <v>1682.1905974498395</v>
      </c>
      <c r="L624" s="304">
        <f t="shared" ca="1" si="261"/>
        <v>1734.0422983584633</v>
      </c>
      <c r="M624" s="306">
        <f t="shared" ca="1" si="277"/>
        <v>-1.3783883236440688</v>
      </c>
      <c r="N624" s="304">
        <f t="shared" ca="1" si="278"/>
        <v>-78.975833474917721</v>
      </c>
      <c r="P624" s="310">
        <f t="shared" ca="1" si="279"/>
        <v>23</v>
      </c>
      <c r="Q624" s="304">
        <f t="shared" ca="1" si="280"/>
        <v>0</v>
      </c>
      <c r="R624" s="306">
        <f t="shared" ca="1" si="281"/>
        <v>0</v>
      </c>
      <c r="S624" s="307">
        <f t="shared" ca="1" si="282"/>
        <v>6.1519999999999921</v>
      </c>
      <c r="T624" s="304">
        <f t="shared" ca="1" si="262"/>
        <v>60.351119999999923</v>
      </c>
      <c r="U624" s="311">
        <f t="shared" ca="1" si="263"/>
        <v>0</v>
      </c>
      <c r="V624" s="306">
        <f t="shared" ca="1" si="264"/>
        <v>1.0349192539965568</v>
      </c>
      <c r="W624" s="304">
        <f t="shared" ca="1" si="265"/>
        <v>10.929834729661243</v>
      </c>
      <c r="Y624" s="314" t="str">
        <f t="shared" ca="1" si="283"/>
        <v/>
      </c>
      <c r="Z624" s="315" t="str">
        <f t="shared" ca="1" si="284"/>
        <v/>
      </c>
      <c r="AA624" s="316" t="str">
        <f t="shared" ca="1" si="285"/>
        <v/>
      </c>
      <c r="AC624" s="310">
        <f t="shared" ca="1" si="286"/>
        <v>26.000000000000057</v>
      </c>
      <c r="AD624" s="323">
        <f t="shared" ca="1" si="287"/>
        <v>420.87704421559226</v>
      </c>
      <c r="AE624" s="324" t="e">
        <f t="shared" ca="1" si="266"/>
        <v>#N/A</v>
      </c>
      <c r="AG624" s="306">
        <f t="shared" ca="1" si="288"/>
        <v>7.8895905860586222</v>
      </c>
      <c r="AH624" s="304">
        <f t="shared" ca="1" si="289"/>
        <v>-1.7340352372996397</v>
      </c>
    </row>
    <row r="625" spans="1:34" x14ac:dyDescent="0.2">
      <c r="A625" s="347">
        <f t="shared" ca="1" si="267"/>
        <v>0.1</v>
      </c>
      <c r="B625" s="304">
        <f t="shared" ca="1" si="268"/>
        <v>26.100000000000058</v>
      </c>
      <c r="D625" s="306">
        <f t="shared" ca="1" si="269"/>
        <v>-0.33973276077696823</v>
      </c>
      <c r="E625" s="307">
        <f t="shared" ca="1" si="270"/>
        <v>-8.0661537241834314</v>
      </c>
      <c r="F625" s="304">
        <f t="shared" ca="1" si="271"/>
        <v>8.0733050388860814</v>
      </c>
      <c r="G625" s="306">
        <f t="shared" ca="1" si="272"/>
        <v>12.827594694123661</v>
      </c>
      <c r="H625" s="307">
        <f t="shared" ca="1" si="273"/>
        <v>-66.824968606010358</v>
      </c>
      <c r="I625" s="304">
        <f t="shared" ca="1" si="274"/>
        <v>68.045011682201803</v>
      </c>
      <c r="J625" s="306">
        <f t="shared" ca="1" si="275"/>
        <v>422.16150234880854</v>
      </c>
      <c r="K625" s="307">
        <f t="shared" ca="1" si="276"/>
        <v>1675.5484313578595</v>
      </c>
      <c r="L625" s="304">
        <f t="shared" ca="1" si="261"/>
        <v>1727.9128681421373</v>
      </c>
      <c r="M625" s="306">
        <f t="shared" ca="1" si="277"/>
        <v>-1.3811451754712039</v>
      </c>
      <c r="N625" s="304">
        <f t="shared" ca="1" si="278"/>
        <v>-79.13378944935549</v>
      </c>
      <c r="P625" s="310">
        <f t="shared" ca="1" si="279"/>
        <v>23</v>
      </c>
      <c r="Q625" s="304">
        <f t="shared" ca="1" si="280"/>
        <v>0</v>
      </c>
      <c r="R625" s="306">
        <f t="shared" ca="1" si="281"/>
        <v>0</v>
      </c>
      <c r="S625" s="307">
        <f t="shared" ca="1" si="282"/>
        <v>6.1519999999999921</v>
      </c>
      <c r="T625" s="304">
        <f t="shared" ca="1" si="262"/>
        <v>60.351119999999923</v>
      </c>
      <c r="U625" s="311">
        <f t="shared" ca="1" si="263"/>
        <v>0</v>
      </c>
      <c r="V625" s="306">
        <f t="shared" ca="1" si="264"/>
        <v>1.0356117743767006</v>
      </c>
      <c r="W625" s="304">
        <f t="shared" ca="1" si="265"/>
        <v>11.194099928850386</v>
      </c>
      <c r="Y625" s="314" t="str">
        <f t="shared" ca="1" si="283"/>
        <v/>
      </c>
      <c r="Z625" s="315" t="str">
        <f t="shared" ca="1" si="284"/>
        <v/>
      </c>
      <c r="AA625" s="316" t="str">
        <f t="shared" ca="1" si="285"/>
        <v/>
      </c>
      <c r="AC625" s="310" t="e">
        <f t="shared" ca="1" si="286"/>
        <v>#N/A</v>
      </c>
      <c r="AD625" s="323" t="e">
        <f t="shared" ca="1" si="287"/>
        <v>#N/A</v>
      </c>
      <c r="AE625" s="324" t="e">
        <f t="shared" ca="1" si="266"/>
        <v>#N/A</v>
      </c>
      <c r="AG625" s="306">
        <f t="shared" ca="1" si="288"/>
        <v>7.8523411668955312</v>
      </c>
      <c r="AH625" s="304">
        <f t="shared" ca="1" si="289"/>
        <v>-1.7766311329098272</v>
      </c>
    </row>
    <row r="626" spans="1:34" x14ac:dyDescent="0.2">
      <c r="A626" s="347">
        <f t="shared" ca="1" si="267"/>
        <v>0.1</v>
      </c>
      <c r="B626" s="304">
        <f t="shared" ca="1" si="268"/>
        <v>26.20000000000006</v>
      </c>
      <c r="D626" s="306">
        <f t="shared" ca="1" si="269"/>
        <v>-0.34302185331966023</v>
      </c>
      <c r="E626" s="307">
        <f t="shared" ca="1" si="270"/>
        <v>-8.0230379758753561</v>
      </c>
      <c r="F626" s="304">
        <f t="shared" ca="1" si="271"/>
        <v>8.0303675105310717</v>
      </c>
      <c r="G626" s="306">
        <f t="shared" ca="1" si="272"/>
        <v>12.793292508791696</v>
      </c>
      <c r="H626" s="307">
        <f t="shared" ca="1" si="273"/>
        <v>-67.6272724035979</v>
      </c>
      <c r="I626" s="304">
        <f t="shared" ca="1" si="274"/>
        <v>68.8267121542642</v>
      </c>
      <c r="J626" s="306">
        <f t="shared" ca="1" si="275"/>
        <v>423.4425467089543</v>
      </c>
      <c r="K626" s="307">
        <f t="shared" ca="1" si="276"/>
        <v>1668.8258193073791</v>
      </c>
      <c r="L626" s="304">
        <f t="shared" ca="1" si="261"/>
        <v>1721.7093847540909</v>
      </c>
      <c r="M626" s="306">
        <f t="shared" ca="1" si="277"/>
        <v>-1.3838321369635793</v>
      </c>
      <c r="N626" s="304">
        <f t="shared" ca="1" si="278"/>
        <v>-79.287741002582777</v>
      </c>
      <c r="P626" s="310">
        <f t="shared" ca="1" si="279"/>
        <v>23</v>
      </c>
      <c r="Q626" s="304">
        <f t="shared" ca="1" si="280"/>
        <v>0</v>
      </c>
      <c r="R626" s="306">
        <f t="shared" ca="1" si="281"/>
        <v>0</v>
      </c>
      <c r="S626" s="307">
        <f t="shared" ca="1" si="282"/>
        <v>6.1519999999999921</v>
      </c>
      <c r="T626" s="304">
        <f t="shared" ca="1" si="262"/>
        <v>60.351119999999923</v>
      </c>
      <c r="U626" s="311">
        <f t="shared" ca="1" si="263"/>
        <v>0</v>
      </c>
      <c r="V626" s="306">
        <f t="shared" ca="1" si="264"/>
        <v>1.0363131144531132</v>
      </c>
      <c r="W626" s="304">
        <f t="shared" ca="1" si="265"/>
        <v>11.460528774203128</v>
      </c>
      <c r="Y626" s="314" t="str">
        <f t="shared" ca="1" si="283"/>
        <v/>
      </c>
      <c r="Z626" s="315" t="str">
        <f t="shared" ca="1" si="284"/>
        <v/>
      </c>
      <c r="AA626" s="316" t="str">
        <f t="shared" ca="1" si="285"/>
        <v/>
      </c>
      <c r="AC626" s="310" t="e">
        <f t="shared" ca="1" si="286"/>
        <v>#N/A</v>
      </c>
      <c r="AD626" s="323" t="e">
        <f t="shared" ca="1" si="287"/>
        <v>#N/A</v>
      </c>
      <c r="AE626" s="324" t="e">
        <f t="shared" ca="1" si="266"/>
        <v>#N/A</v>
      </c>
      <c r="AG626" s="306">
        <f t="shared" ca="1" si="288"/>
        <v>7.8145201596926501</v>
      </c>
      <c r="AH626" s="304">
        <f t="shared" ca="1" si="289"/>
        <v>-1.8195871145725619</v>
      </c>
    </row>
    <row r="627" spans="1:34" x14ac:dyDescent="0.2">
      <c r="A627" s="347">
        <f t="shared" ca="1" si="267"/>
        <v>0.1</v>
      </c>
      <c r="B627" s="304">
        <f t="shared" ca="1" si="268"/>
        <v>26.300000000000061</v>
      </c>
      <c r="D627" s="306">
        <f t="shared" ca="1" si="269"/>
        <v>-0.34626901779764102</v>
      </c>
      <c r="E627" s="307">
        <f t="shared" ca="1" si="270"/>
        <v>-7.9795697823343925</v>
      </c>
      <c r="F627" s="304">
        <f t="shared" ca="1" si="271"/>
        <v>7.9870793249992635</v>
      </c>
      <c r="G627" s="306">
        <f t="shared" ca="1" si="272"/>
        <v>12.758665607011931</v>
      </c>
      <c r="H627" s="307">
        <f t="shared" ca="1" si="273"/>
        <v>-68.425229381831343</v>
      </c>
      <c r="I627" s="304">
        <f t="shared" ca="1" si="274"/>
        <v>69.604565683781004</v>
      </c>
      <c r="J627" s="306">
        <f t="shared" ca="1" si="275"/>
        <v>424.72014461474447</v>
      </c>
      <c r="K627" s="307">
        <f t="shared" ca="1" si="276"/>
        <v>1662.0231942181076</v>
      </c>
      <c r="L627" s="304">
        <f t="shared" ca="1" si="261"/>
        <v>1715.4323942844646</v>
      </c>
      <c r="M627" s="306">
        <f t="shared" ca="1" si="277"/>
        <v>-1.3864518702735116</v>
      </c>
      <c r="N627" s="304">
        <f t="shared" ca="1" si="278"/>
        <v>-79.437840664691734</v>
      </c>
      <c r="P627" s="310">
        <f t="shared" ca="1" si="279"/>
        <v>23</v>
      </c>
      <c r="Q627" s="304">
        <f t="shared" ca="1" si="280"/>
        <v>0</v>
      </c>
      <c r="R627" s="306">
        <f t="shared" ca="1" si="281"/>
        <v>0</v>
      </c>
      <c r="S627" s="307">
        <f t="shared" ca="1" si="282"/>
        <v>6.1519999999999921</v>
      </c>
      <c r="T627" s="304">
        <f t="shared" ca="1" si="262"/>
        <v>60.351119999999923</v>
      </c>
      <c r="U627" s="311">
        <f t="shared" ca="1" si="263"/>
        <v>0</v>
      </c>
      <c r="V627" s="306">
        <f t="shared" ca="1" si="264"/>
        <v>1.0370232450438319</v>
      </c>
      <c r="W627" s="304">
        <f t="shared" ca="1" si="265"/>
        <v>11.729069540258074</v>
      </c>
      <c r="Y627" s="314" t="str">
        <f t="shared" ca="1" si="283"/>
        <v/>
      </c>
      <c r="Z627" s="315" t="str">
        <f t="shared" ca="1" si="284"/>
        <v/>
      </c>
      <c r="AA627" s="316" t="str">
        <f t="shared" ca="1" si="285"/>
        <v/>
      </c>
      <c r="AC627" s="310" t="e">
        <f t="shared" ca="1" si="286"/>
        <v>#N/A</v>
      </c>
      <c r="AD627" s="323" t="e">
        <f t="shared" ca="1" si="287"/>
        <v>#N/A</v>
      </c>
      <c r="AE627" s="324" t="e">
        <f t="shared" ca="1" si="266"/>
        <v>#N/A</v>
      </c>
      <c r="AG627" s="306">
        <f t="shared" ca="1" si="288"/>
        <v>7.7761468149524289</v>
      </c>
      <c r="AH627" s="304">
        <f t="shared" ca="1" si="289"/>
        <v>-1.8628947942462846</v>
      </c>
    </row>
    <row r="628" spans="1:34" x14ac:dyDescent="0.2">
      <c r="A628" s="347">
        <f t="shared" ca="1" si="267"/>
        <v>0.1</v>
      </c>
      <c r="B628" s="304">
        <f t="shared" ca="1" si="268"/>
        <v>26.400000000000063</v>
      </c>
      <c r="D628" s="306">
        <f t="shared" ca="1" si="269"/>
        <v>-0.3494739120723942</v>
      </c>
      <c r="E628" s="307">
        <f t="shared" ca="1" si="270"/>
        <v>-7.9357575570146244</v>
      </c>
      <c r="F628" s="304">
        <f t="shared" ca="1" si="271"/>
        <v>7.9434488743198886</v>
      </c>
      <c r="G628" s="306">
        <f t="shared" ca="1" si="272"/>
        <v>12.723718215804691</v>
      </c>
      <c r="H628" s="307">
        <f t="shared" ca="1" si="273"/>
        <v>-69.218805137532812</v>
      </c>
      <c r="I628" s="304">
        <f t="shared" ca="1" si="274"/>
        <v>70.378519378450548</v>
      </c>
      <c r="J628" s="306">
        <f t="shared" ca="1" si="275"/>
        <v>425.99426380588528</v>
      </c>
      <c r="K628" s="307">
        <f t="shared" ca="1" si="276"/>
        <v>1655.1409924921395</v>
      </c>
      <c r="L628" s="304">
        <f t="shared" ca="1" si="261"/>
        <v>1709.0824491005058</v>
      </c>
      <c r="M628" s="306">
        <f t="shared" ca="1" si="277"/>
        <v>-1.3890069054354233</v>
      </c>
      <c r="N628" s="304">
        <f t="shared" ca="1" si="278"/>
        <v>-79.584233395976796</v>
      </c>
      <c r="P628" s="310">
        <f t="shared" ca="1" si="279"/>
        <v>23</v>
      </c>
      <c r="Q628" s="304">
        <f t="shared" ca="1" si="280"/>
        <v>0</v>
      </c>
      <c r="R628" s="306">
        <f t="shared" ca="1" si="281"/>
        <v>0</v>
      </c>
      <c r="S628" s="307">
        <f t="shared" ca="1" si="282"/>
        <v>6.1519999999999921</v>
      </c>
      <c r="T628" s="304">
        <f t="shared" ca="1" si="262"/>
        <v>60.351119999999923</v>
      </c>
      <c r="U628" s="311">
        <f t="shared" ca="1" si="263"/>
        <v>0</v>
      </c>
      <c r="V628" s="306">
        <f t="shared" ca="1" si="264"/>
        <v>1.0377421367050139</v>
      </c>
      <c r="W628" s="304">
        <f t="shared" ca="1" si="265"/>
        <v>11.999670397522408</v>
      </c>
      <c r="Y628" s="314" t="str">
        <f t="shared" ca="1" si="283"/>
        <v/>
      </c>
      <c r="Z628" s="315" t="str">
        <f t="shared" ca="1" si="284"/>
        <v/>
      </c>
      <c r="AA628" s="316" t="str">
        <f t="shared" ca="1" si="285"/>
        <v/>
      </c>
      <c r="AC628" s="310" t="e">
        <f t="shared" ca="1" si="286"/>
        <v>#N/A</v>
      </c>
      <c r="AD628" s="323" t="e">
        <f t="shared" ca="1" si="287"/>
        <v>#N/A</v>
      </c>
      <c r="AE628" s="324" t="e">
        <f t="shared" ca="1" si="266"/>
        <v>#N/A</v>
      </c>
      <c r="AG628" s="306">
        <f t="shared" ca="1" si="288"/>
        <v>7.7372397210476578</v>
      </c>
      <c r="AH628" s="304">
        <f t="shared" ca="1" si="289"/>
        <v>-1.9065457640211458</v>
      </c>
    </row>
    <row r="629" spans="1:34" x14ac:dyDescent="0.2">
      <c r="A629" s="347">
        <f t="shared" ca="1" si="267"/>
        <v>0.1</v>
      </c>
      <c r="B629" s="304">
        <f t="shared" ca="1" si="268"/>
        <v>26.500000000000064</v>
      </c>
      <c r="D629" s="306">
        <f t="shared" ca="1" si="269"/>
        <v>-0.35263621140173179</v>
      </c>
      <c r="E629" s="307">
        <f t="shared" ca="1" si="270"/>
        <v>-7.8916097317264757</v>
      </c>
      <c r="F629" s="304">
        <f t="shared" ca="1" si="271"/>
        <v>7.8994845689748514</v>
      </c>
      <c r="G629" s="306">
        <f t="shared" ca="1" si="272"/>
        <v>12.688454594664519</v>
      </c>
      <c r="H629" s="307">
        <f t="shared" ca="1" si="273"/>
        <v>-70.007966110705453</v>
      </c>
      <c r="I629" s="304">
        <f t="shared" ca="1" si="274"/>
        <v>71.148522113664072</v>
      </c>
      <c r="J629" s="306">
        <f t="shared" ca="1" si="275"/>
        <v>427.26487244640873</v>
      </c>
      <c r="K629" s="307">
        <f t="shared" ca="1" si="276"/>
        <v>1648.1796539297277</v>
      </c>
      <c r="L629" s="304">
        <f t="shared" ca="1" si="261"/>
        <v>1702.6601078472952</v>
      </c>
      <c r="M629" s="306">
        <f t="shared" ca="1" si="277"/>
        <v>-1.3914996483490052</v>
      </c>
      <c r="N629" s="304">
        <f t="shared" ca="1" si="278"/>
        <v>-79.727057044336192</v>
      </c>
      <c r="P629" s="310">
        <f t="shared" ca="1" si="279"/>
        <v>23</v>
      </c>
      <c r="Q629" s="304">
        <f t="shared" ca="1" si="280"/>
        <v>0</v>
      </c>
      <c r="R629" s="306">
        <f t="shared" ca="1" si="281"/>
        <v>0</v>
      </c>
      <c r="S629" s="307">
        <f t="shared" ca="1" si="282"/>
        <v>6.1519999999999921</v>
      </c>
      <c r="T629" s="304">
        <f t="shared" ca="1" si="262"/>
        <v>60.351119999999923</v>
      </c>
      <c r="U629" s="311">
        <f t="shared" ca="1" si="263"/>
        <v>0</v>
      </c>
      <c r="V629" s="306">
        <f t="shared" ca="1" si="264"/>
        <v>1.0384697597359036</v>
      </c>
      <c r="W629" s="304">
        <f t="shared" ca="1" si="265"/>
        <v>12.272279430548906</v>
      </c>
      <c r="Y629" s="314" t="str">
        <f t="shared" ca="1" si="283"/>
        <v/>
      </c>
      <c r="Z629" s="315" t="str">
        <f t="shared" ca="1" si="284"/>
        <v/>
      </c>
      <c r="AA629" s="316" t="str">
        <f t="shared" ca="1" si="285"/>
        <v/>
      </c>
      <c r="AC629" s="310" t="e">
        <f t="shared" ca="1" si="286"/>
        <v>#N/A</v>
      </c>
      <c r="AD629" s="323" t="e">
        <f t="shared" ca="1" si="287"/>
        <v>#N/A</v>
      </c>
      <c r="AE629" s="324" t="e">
        <f t="shared" ca="1" si="266"/>
        <v>#N/A</v>
      </c>
      <c r="AG629" s="306">
        <f t="shared" ca="1" si="288"/>
        <v>7.6978168515030116</v>
      </c>
      <c r="AH629" s="304">
        <f t="shared" ca="1" si="289"/>
        <v>-1.9505315990771168</v>
      </c>
    </row>
    <row r="630" spans="1:34" x14ac:dyDescent="0.2">
      <c r="A630" s="347">
        <f t="shared" ca="1" si="267"/>
        <v>0.1</v>
      </c>
      <c r="B630" s="304">
        <f t="shared" ca="1" si="268"/>
        <v>26.600000000000065</v>
      </c>
      <c r="D630" s="306">
        <f t="shared" ca="1" si="269"/>
        <v>-0.35575560808579809</v>
      </c>
      <c r="E630" s="307">
        <f t="shared" ca="1" si="270"/>
        <v>-7.8471347535863982</v>
      </c>
      <c r="F630" s="304">
        <f t="shared" ca="1" si="271"/>
        <v>7.8551948348610656</v>
      </c>
      <c r="G630" s="306">
        <f t="shared" ca="1" si="272"/>
        <v>12.652879033855939</v>
      </c>
      <c r="H630" s="307">
        <f t="shared" ca="1" si="273"/>
        <v>-70.792679586064096</v>
      </c>
      <c r="I630" s="304">
        <f t="shared" ca="1" si="274"/>
        <v>71.914524477469271</v>
      </c>
      <c r="J630" s="306">
        <f t="shared" ca="1" si="275"/>
        <v>428.53193912783473</v>
      </c>
      <c r="K630" s="307">
        <f t="shared" ca="1" si="276"/>
        <v>1641.1396216448893</v>
      </c>
      <c r="L630" s="304">
        <f t="shared" ca="1" si="261"/>
        <v>1696.1659354513026</v>
      </c>
      <c r="M630" s="306">
        <f t="shared" ca="1" si="277"/>
        <v>-1.3939323881984378</v>
      </c>
      <c r="N630" s="304">
        <f t="shared" ca="1" si="278"/>
        <v>-79.866442770361971</v>
      </c>
      <c r="P630" s="310">
        <f t="shared" ca="1" si="279"/>
        <v>23</v>
      </c>
      <c r="Q630" s="304">
        <f t="shared" ca="1" si="280"/>
        <v>0</v>
      </c>
      <c r="R630" s="306">
        <f t="shared" ca="1" si="281"/>
        <v>0</v>
      </c>
      <c r="S630" s="307">
        <f t="shared" ca="1" si="282"/>
        <v>6.1519999999999921</v>
      </c>
      <c r="T630" s="304">
        <f t="shared" ca="1" si="262"/>
        <v>60.351119999999923</v>
      </c>
      <c r="U630" s="311">
        <f t="shared" ca="1" si="263"/>
        <v>0</v>
      </c>
      <c r="V630" s="306">
        <f t="shared" ca="1" si="264"/>
        <v>1.0392060841838253</v>
      </c>
      <c r="W630" s="304">
        <f t="shared" ca="1" si="265"/>
        <v>12.546844655882319</v>
      </c>
      <c r="Y630" s="314" t="str">
        <f t="shared" ca="1" si="283"/>
        <v/>
      </c>
      <c r="Z630" s="315" t="str">
        <f t="shared" ca="1" si="284"/>
        <v/>
      </c>
      <c r="AA630" s="316" t="str">
        <f t="shared" ca="1" si="285"/>
        <v/>
      </c>
      <c r="AC630" s="310" t="e">
        <f t="shared" ca="1" si="286"/>
        <v>#N/A</v>
      </c>
      <c r="AD630" s="323" t="e">
        <f t="shared" ca="1" si="287"/>
        <v>#N/A</v>
      </c>
      <c r="AE630" s="324" t="e">
        <f t="shared" ca="1" si="266"/>
        <v>#N/A</v>
      </c>
      <c r="AG630" s="306">
        <f t="shared" ca="1" si="288"/>
        <v>7.6578956080745302</v>
      </c>
      <c r="AH630" s="304">
        <f t="shared" ca="1" si="289"/>
        <v>-1.9948438606223864</v>
      </c>
    </row>
    <row r="631" spans="1:34" x14ac:dyDescent="0.2">
      <c r="A631" s="347">
        <f t="shared" ca="1" si="267"/>
        <v>0.1</v>
      </c>
      <c r="B631" s="304">
        <f t="shared" ca="1" si="268"/>
        <v>26.700000000000067</v>
      </c>
      <c r="D631" s="306">
        <f t="shared" ca="1" si="269"/>
        <v>-0.35883181113179213</v>
      </c>
      <c r="E631" s="307">
        <f t="shared" ca="1" si="270"/>
        <v>-7.8023410819965289</v>
      </c>
      <c r="F631" s="304">
        <f t="shared" ca="1" si="271"/>
        <v>7.810588110282791</v>
      </c>
      <c r="G631" s="306">
        <f t="shared" ca="1" si="272"/>
        <v>12.616995852742759</v>
      </c>
      <c r="H631" s="307">
        <f t="shared" ca="1" si="273"/>
        <v>-71.572913694263747</v>
      </c>
      <c r="I631" s="304">
        <f t="shared" ca="1" si="274"/>
        <v>72.676478719284788</v>
      </c>
      <c r="J631" s="306">
        <f t="shared" ca="1" si="275"/>
        <v>429.79543287216467</v>
      </c>
      <c r="K631" s="307">
        <f t="shared" ca="1" si="276"/>
        <v>1634.0213419808729</v>
      </c>
      <c r="L631" s="304">
        <f t="shared" ca="1" si="261"/>
        <v>1689.6005031269208</v>
      </c>
      <c r="M631" s="306">
        <f t="shared" ca="1" si="277"/>
        <v>-1.3963073043529264</v>
      </c>
      <c r="N631" s="304">
        <f t="shared" ca="1" si="278"/>
        <v>-80.002515442711598</v>
      </c>
      <c r="P631" s="310">
        <f t="shared" ca="1" si="279"/>
        <v>23</v>
      </c>
      <c r="Q631" s="304">
        <f t="shared" ca="1" si="280"/>
        <v>0</v>
      </c>
      <c r="R631" s="306">
        <f t="shared" ca="1" si="281"/>
        <v>0</v>
      </c>
      <c r="S631" s="307">
        <f t="shared" ca="1" si="282"/>
        <v>6.1519999999999921</v>
      </c>
      <c r="T631" s="304">
        <f t="shared" ca="1" si="262"/>
        <v>60.351119999999923</v>
      </c>
      <c r="U631" s="311">
        <f t="shared" ca="1" si="263"/>
        <v>0</v>
      </c>
      <c r="V631" s="306">
        <f t="shared" ca="1" si="264"/>
        <v>1.0399510798491902</v>
      </c>
      <c r="W631" s="304">
        <f t="shared" ca="1" si="265"/>
        <v>12.823314039865636</v>
      </c>
      <c r="Y631" s="314" t="str">
        <f t="shared" ca="1" si="283"/>
        <v/>
      </c>
      <c r="Z631" s="315" t="str">
        <f t="shared" ca="1" si="284"/>
        <v/>
      </c>
      <c r="AA631" s="316" t="str">
        <f t="shared" ca="1" si="285"/>
        <v/>
      </c>
      <c r="AC631" s="310" t="e">
        <f t="shared" ca="1" si="286"/>
        <v>#N/A</v>
      </c>
      <c r="AD631" s="323" t="e">
        <f t="shared" ca="1" si="287"/>
        <v>#N/A</v>
      </c>
      <c r="AE631" s="324" t="e">
        <f t="shared" ca="1" si="266"/>
        <v>#N/A</v>
      </c>
      <c r="AG631" s="306">
        <f t="shared" ca="1" si="288"/>
        <v>7.6174928600249938</v>
      </c>
      <c r="AH631" s="304">
        <f t="shared" ca="1" si="289"/>
        <v>-2.0394740988105227</v>
      </c>
    </row>
    <row r="632" spans="1:34" x14ac:dyDescent="0.2">
      <c r="A632" s="347">
        <f t="shared" ca="1" si="267"/>
        <v>0.1</v>
      </c>
      <c r="B632" s="304">
        <f t="shared" ca="1" si="268"/>
        <v>26.800000000000068</v>
      </c>
      <c r="D632" s="306">
        <f t="shared" ca="1" si="269"/>
        <v>-0.36186454593549383</v>
      </c>
      <c r="E632" s="307">
        <f t="shared" ca="1" si="270"/>
        <v>-7.7572371856550308</v>
      </c>
      <c r="F632" s="304">
        <f t="shared" ca="1" si="271"/>
        <v>7.7656728429746691</v>
      </c>
      <c r="G632" s="306">
        <f t="shared" ca="1" si="272"/>
        <v>12.58080939814921</v>
      </c>
      <c r="H632" s="307">
        <f t="shared" ca="1" si="273"/>
        <v>-72.348637412829248</v>
      </c>
      <c r="I632" s="304">
        <f t="shared" ca="1" si="274"/>
        <v>73.434338702037721</v>
      </c>
      <c r="J632" s="306">
        <f t="shared" ca="1" si="275"/>
        <v>431.05532313470928</v>
      </c>
      <c r="K632" s="307">
        <f t="shared" ca="1" si="276"/>
        <v>1626.8252644255183</v>
      </c>
      <c r="L632" s="304">
        <f t="shared" ca="1" si="261"/>
        <v>1682.9643883861377</v>
      </c>
      <c r="M632" s="306">
        <f t="shared" ca="1" si="277"/>
        <v>-1.3986264727897633</v>
      </c>
      <c r="N632" s="304">
        <f t="shared" ca="1" si="278"/>
        <v>-80.135394006122311</v>
      </c>
      <c r="P632" s="310">
        <f t="shared" ca="1" si="279"/>
        <v>23</v>
      </c>
      <c r="Q632" s="304">
        <f t="shared" ca="1" si="280"/>
        <v>0</v>
      </c>
      <c r="R632" s="306">
        <f t="shared" ca="1" si="281"/>
        <v>0</v>
      </c>
      <c r="S632" s="307">
        <f t="shared" ca="1" si="282"/>
        <v>6.1519999999999921</v>
      </c>
      <c r="T632" s="304">
        <f t="shared" ca="1" si="262"/>
        <v>60.351119999999923</v>
      </c>
      <c r="U632" s="311">
        <f t="shared" ca="1" si="263"/>
        <v>0</v>
      </c>
      <c r="V632" s="306">
        <f t="shared" ca="1" si="264"/>
        <v>1.0407047162905261</v>
      </c>
      <c r="W632" s="304">
        <f t="shared" ca="1" si="265"/>
        <v>13.101635516297613</v>
      </c>
      <c r="Y632" s="314" t="str">
        <f t="shared" ca="1" si="283"/>
        <v/>
      </c>
      <c r="Z632" s="315" t="str">
        <f t="shared" ca="1" si="284"/>
        <v/>
      </c>
      <c r="AA632" s="316" t="str">
        <f t="shared" ca="1" si="285"/>
        <v/>
      </c>
      <c r="AC632" s="310" t="e">
        <f t="shared" ca="1" si="286"/>
        <v>#N/A</v>
      </c>
      <c r="AD632" s="323" t="e">
        <f t="shared" ca="1" si="287"/>
        <v>#N/A</v>
      </c>
      <c r="AE632" s="324" t="e">
        <f t="shared" ca="1" si="266"/>
        <v>#N/A</v>
      </c>
      <c r="AG632" s="306">
        <f t="shared" ca="1" si="288"/>
        <v>7.5766249799522072</v>
      </c>
      <c r="AH632" s="304">
        <f t="shared" ca="1" si="289"/>
        <v>-2.084413855634859</v>
      </c>
    </row>
    <row r="633" spans="1:34" x14ac:dyDescent="0.2">
      <c r="A633" s="347">
        <f t="shared" ca="1" si="267"/>
        <v>0.1</v>
      </c>
      <c r="B633" s="304">
        <f t="shared" ca="1" si="268"/>
        <v>26.90000000000007</v>
      </c>
      <c r="D633" s="306">
        <f t="shared" ca="1" si="269"/>
        <v>-0.36485355397788588</v>
      </c>
      <c r="E633" s="307">
        <f t="shared" ca="1" si="270"/>
        <v>-7.7118315395978065</v>
      </c>
      <c r="F633" s="304">
        <f t="shared" ca="1" si="271"/>
        <v>7.7204574871561702</v>
      </c>
      <c r="G633" s="306">
        <f t="shared" ca="1" si="272"/>
        <v>12.544324042751422</v>
      </c>
      <c r="H633" s="307">
        <f t="shared" ca="1" si="273"/>
        <v>-73.119820566789031</v>
      </c>
      <c r="I633" s="304">
        <f t="shared" ca="1" si="274"/>
        <v>74.188059857425685</v>
      </c>
      <c r="J633" s="306">
        <f t="shared" ca="1" si="275"/>
        <v>432.31157980675431</v>
      </c>
      <c r="K633" s="307">
        <f t="shared" ca="1" si="276"/>
        <v>1619.5518415265374</v>
      </c>
      <c r="L633" s="304">
        <f t="shared" ca="1" si="261"/>
        <v>1676.2581750515074</v>
      </c>
      <c r="M633" s="306">
        <f t="shared" ca="1" si="277"/>
        <v>-1.4008918720774914</v>
      </c>
      <c r="N633" s="304">
        <f t="shared" ca="1" si="278"/>
        <v>-80.265191824221077</v>
      </c>
      <c r="P633" s="310">
        <f t="shared" ca="1" si="279"/>
        <v>23</v>
      </c>
      <c r="Q633" s="304">
        <f t="shared" ca="1" si="280"/>
        <v>0</v>
      </c>
      <c r="R633" s="306">
        <f t="shared" ca="1" si="281"/>
        <v>0</v>
      </c>
      <c r="S633" s="307">
        <f t="shared" ca="1" si="282"/>
        <v>6.1519999999999921</v>
      </c>
      <c r="T633" s="304">
        <f t="shared" ca="1" si="262"/>
        <v>60.351119999999923</v>
      </c>
      <c r="U633" s="311">
        <f t="shared" ca="1" si="263"/>
        <v>0</v>
      </c>
      <c r="V633" s="306">
        <f t="shared" ca="1" si="264"/>
        <v>1.0414669628295199</v>
      </c>
      <c r="W633" s="304">
        <f t="shared" ca="1" si="265"/>
        <v>13.381757003932405</v>
      </c>
      <c r="Y633" s="314" t="str">
        <f t="shared" ca="1" si="283"/>
        <v/>
      </c>
      <c r="Z633" s="315" t="str">
        <f t="shared" ca="1" si="284"/>
        <v/>
      </c>
      <c r="AA633" s="316" t="str">
        <f t="shared" ca="1" si="285"/>
        <v/>
      </c>
      <c r="AC633" s="310" t="e">
        <f t="shared" ca="1" si="286"/>
        <v>#N/A</v>
      </c>
      <c r="AD633" s="323" t="e">
        <f t="shared" ca="1" si="287"/>
        <v>#N/A</v>
      </c>
      <c r="AE633" s="324" t="e">
        <f t="shared" ca="1" si="266"/>
        <v>#N/A</v>
      </c>
      <c r="AG633" s="306">
        <f t="shared" ca="1" si="288"/>
        <v>7.5353078764906805</v>
      </c>
      <c r="AH633" s="304">
        <f t="shared" ca="1" si="289"/>
        <v>-2.1296546677987043</v>
      </c>
    </row>
    <row r="634" spans="1:34" x14ac:dyDescent="0.2">
      <c r="A634" s="347">
        <f t="shared" ca="1" si="267"/>
        <v>0.1</v>
      </c>
      <c r="B634" s="304">
        <f t="shared" ca="1" si="268"/>
        <v>27.000000000000071</v>
      </c>
      <c r="D634" s="306">
        <f t="shared" ca="1" si="269"/>
        <v>-0.36779859253530528</v>
      </c>
      <c r="E634" s="307">
        <f t="shared" ca="1" si="270"/>
        <v>-7.6661326222723769</v>
      </c>
      <c r="F634" s="304">
        <f t="shared" ca="1" si="271"/>
        <v>7.674950500618209</v>
      </c>
      <c r="G634" s="306">
        <f t="shared" ca="1" si="272"/>
        <v>12.507544183497892</v>
      </c>
      <c r="H634" s="307">
        <f t="shared" ca="1" si="273"/>
        <v>-73.886433829016269</v>
      </c>
      <c r="I634" s="304">
        <f t="shared" ca="1" si="274"/>
        <v>74.937599144032845</v>
      </c>
      <c r="J634" s="306">
        <f t="shared" ca="1" si="275"/>
        <v>433.5641732180668</v>
      </c>
      <c r="K634" s="307">
        <f t="shared" ca="1" si="276"/>
        <v>1612.2015288067471</v>
      </c>
      <c r="L634" s="304">
        <f t="shared" ca="1" si="261"/>
        <v>1669.4824532725938</v>
      </c>
      <c r="M634" s="306">
        <f t="shared" ca="1" si="277"/>
        <v>-1.403105388953453</v>
      </c>
      <c r="N634" s="304">
        <f t="shared" ca="1" si="278"/>
        <v>-80.392016999094665</v>
      </c>
      <c r="P634" s="310">
        <f t="shared" ca="1" si="279"/>
        <v>23</v>
      </c>
      <c r="Q634" s="304">
        <f t="shared" ca="1" si="280"/>
        <v>0</v>
      </c>
      <c r="R634" s="306">
        <f t="shared" ca="1" si="281"/>
        <v>0</v>
      </c>
      <c r="S634" s="307">
        <f t="shared" ca="1" si="282"/>
        <v>6.1519999999999921</v>
      </c>
      <c r="T634" s="304">
        <f t="shared" ca="1" si="262"/>
        <v>60.351119999999923</v>
      </c>
      <c r="U634" s="311">
        <f t="shared" ca="1" si="263"/>
        <v>0</v>
      </c>
      <c r="V634" s="306">
        <f t="shared" ca="1" si="264"/>
        <v>1.0422377885560734</v>
      </c>
      <c r="W634" s="304">
        <f t="shared" ca="1" si="265"/>
        <v>13.663626423812968</v>
      </c>
      <c r="Y634" s="314" t="str">
        <f t="shared" ca="1" si="283"/>
        <v/>
      </c>
      <c r="Z634" s="315" t="str">
        <f t="shared" ca="1" si="284"/>
        <v/>
      </c>
      <c r="AA634" s="316" t="str">
        <f t="shared" ca="1" si="285"/>
        <v/>
      </c>
      <c r="AC634" s="310">
        <f t="shared" ca="1" si="286"/>
        <v>27.000000000000071</v>
      </c>
      <c r="AD634" s="323">
        <f t="shared" ca="1" si="287"/>
        <v>433.5641732180668</v>
      </c>
      <c r="AE634" s="324" t="e">
        <f t="shared" ca="1" si="266"/>
        <v>#N/A</v>
      </c>
      <c r="AG634" s="306">
        <f t="shared" ca="1" si="288"/>
        <v>7.4935570241750771</v>
      </c>
      <c r="AH634" s="304">
        <f t="shared" ca="1" si="289"/>
        <v>-2.1751880695598866</v>
      </c>
    </row>
    <row r="635" spans="1:34" x14ac:dyDescent="0.2">
      <c r="A635" s="347">
        <f t="shared" ca="1" si="267"/>
        <v>0.1</v>
      </c>
      <c r="B635" s="304">
        <f t="shared" ca="1" si="268"/>
        <v>27.100000000000072</v>
      </c>
      <c r="D635" s="306">
        <f t="shared" ca="1" si="269"/>
        <v>-0.37069943440172382</v>
      </c>
      <c r="E635" s="307">
        <f t="shared" ca="1" si="270"/>
        <v>-7.6201489126447459</v>
      </c>
      <c r="F635" s="304">
        <f t="shared" ca="1" si="271"/>
        <v>7.6291603418427814</v>
      </c>
      <c r="G635" s="306">
        <f t="shared" ca="1" si="272"/>
        <v>12.470474240057719</v>
      </c>
      <c r="H635" s="307">
        <f t="shared" ca="1" si="273"/>
        <v>-74.64844872028074</v>
      </c>
      <c r="I635" s="304">
        <f t="shared" ca="1" si="274"/>
        <v>75.68291500805401</v>
      </c>
      <c r="J635" s="306">
        <f t="shared" ca="1" si="275"/>
        <v>434.81307413924458</v>
      </c>
      <c r="K635" s="307">
        <f t="shared" ca="1" si="276"/>
        <v>1604.7747846792822</v>
      </c>
      <c r="L635" s="304">
        <f t="shared" ca="1" si="261"/>
        <v>1662.6378195460538</v>
      </c>
      <c r="M635" s="306">
        <f t="shared" ca="1" si="277"/>
        <v>-1.4052688235270259</v>
      </c>
      <c r="N635" s="304">
        <f t="shared" ca="1" si="278"/>
        <v>-80.515972669413074</v>
      </c>
      <c r="P635" s="310">
        <f t="shared" ca="1" si="279"/>
        <v>23</v>
      </c>
      <c r="Q635" s="304">
        <f t="shared" ca="1" si="280"/>
        <v>0</v>
      </c>
      <c r="R635" s="306">
        <f t="shared" ca="1" si="281"/>
        <v>0</v>
      </c>
      <c r="S635" s="307">
        <f t="shared" ca="1" si="282"/>
        <v>6.1519999999999921</v>
      </c>
      <c r="T635" s="304">
        <f t="shared" ca="1" si="262"/>
        <v>60.351119999999923</v>
      </c>
      <c r="U635" s="311">
        <f t="shared" ca="1" si="263"/>
        <v>0</v>
      </c>
      <c r="V635" s="306">
        <f t="shared" ca="1" si="264"/>
        <v>1.043017162333377</v>
      </c>
      <c r="W635" s="304">
        <f t="shared" ca="1" si="265"/>
        <v>13.94719171642995</v>
      </c>
      <c r="Y635" s="314" t="str">
        <f t="shared" ca="1" si="283"/>
        <v/>
      </c>
      <c r="Z635" s="315" t="str">
        <f t="shared" ca="1" si="284"/>
        <v/>
      </c>
      <c r="AA635" s="316" t="str">
        <f t="shared" ca="1" si="285"/>
        <v/>
      </c>
      <c r="AC635" s="310" t="e">
        <f t="shared" ca="1" si="286"/>
        <v>#N/A</v>
      </c>
      <c r="AD635" s="323" t="e">
        <f t="shared" ca="1" si="287"/>
        <v>#N/A</v>
      </c>
      <c r="AE635" s="324" t="e">
        <f t="shared" ca="1" si="266"/>
        <v>#N/A</v>
      </c>
      <c r="AG635" s="306">
        <f t="shared" ca="1" si="288"/>
        <v>7.4513874907248452</v>
      </c>
      <c r="AH635" s="304">
        <f t="shared" ca="1" si="289"/>
        <v>-2.2210055955482746</v>
      </c>
    </row>
    <row r="636" spans="1:34" x14ac:dyDescent="0.2">
      <c r="A636" s="347">
        <f t="shared" ca="1" si="267"/>
        <v>0.1</v>
      </c>
      <c r="B636" s="304">
        <f t="shared" ca="1" si="268"/>
        <v>27.200000000000074</v>
      </c>
      <c r="D636" s="306">
        <f t="shared" ca="1" si="269"/>
        <v>-0.37355586762189874</v>
      </c>
      <c r="E636" s="307">
        <f t="shared" ca="1" si="270"/>
        <v>-7.5738888873400052</v>
      </c>
      <c r="F636" s="304">
        <f t="shared" ca="1" si="271"/>
        <v>7.5830954671563493</v>
      </c>
      <c r="G636" s="306">
        <f t="shared" ca="1" si="272"/>
        <v>12.433118653295528</v>
      </c>
      <c r="H636" s="307">
        <f t="shared" ca="1" si="273"/>
        <v>-75.405837609014739</v>
      </c>
      <c r="I636" s="304">
        <f t="shared" ca="1" si="274"/>
        <v>76.423967346402705</v>
      </c>
      <c r="J636" s="306">
        <f t="shared" ca="1" si="275"/>
        <v>436.05825378391222</v>
      </c>
      <c r="K636" s="307">
        <f t="shared" ca="1" si="276"/>
        <v>1597.2720703628174</v>
      </c>
      <c r="L636" s="304">
        <f t="shared" ca="1" si="261"/>
        <v>1655.7248767395492</v>
      </c>
      <c r="M636" s="306">
        <f t="shared" ca="1" si="277"/>
        <v>-1.407383894137167</v>
      </c>
      <c r="N636" s="304">
        <f t="shared" ca="1" si="278"/>
        <v>-80.637157288746309</v>
      </c>
      <c r="P636" s="310">
        <f t="shared" ca="1" si="279"/>
        <v>23</v>
      </c>
      <c r="Q636" s="304">
        <f t="shared" ca="1" si="280"/>
        <v>0</v>
      </c>
      <c r="R636" s="306">
        <f t="shared" ca="1" si="281"/>
        <v>0</v>
      </c>
      <c r="S636" s="307">
        <f t="shared" ca="1" si="282"/>
        <v>6.1519999999999921</v>
      </c>
      <c r="T636" s="304">
        <f t="shared" ca="1" si="262"/>
        <v>60.351119999999923</v>
      </c>
      <c r="U636" s="311">
        <f t="shared" ca="1" si="263"/>
        <v>0</v>
      </c>
      <c r="V636" s="306">
        <f t="shared" ca="1" si="264"/>
        <v>1.0438050528029874</v>
      </c>
      <c r="W636" s="304">
        <f t="shared" ca="1" si="265"/>
        <v>14.232400858697734</v>
      </c>
      <c r="Y636" s="314" t="str">
        <f t="shared" ca="1" si="283"/>
        <v/>
      </c>
      <c r="Z636" s="315" t="str">
        <f t="shared" ca="1" si="284"/>
        <v/>
      </c>
      <c r="AA636" s="316" t="str">
        <f t="shared" ca="1" si="285"/>
        <v/>
      </c>
      <c r="AC636" s="310" t="e">
        <f t="shared" ca="1" si="286"/>
        <v>#N/A</v>
      </c>
      <c r="AD636" s="323" t="e">
        <f t="shared" ca="1" si="287"/>
        <v>#N/A</v>
      </c>
      <c r="AE636" s="324" t="e">
        <f t="shared" ca="1" si="266"/>
        <v>#N/A</v>
      </c>
      <c r="AG636" s="306">
        <f t="shared" ca="1" si="288"/>
        <v>7.4088139619837916</v>
      </c>
      <c r="AH636" s="304">
        <f t="shared" ca="1" si="289"/>
        <v>-2.2670987835549363</v>
      </c>
    </row>
    <row r="637" spans="1:34" x14ac:dyDescent="0.2">
      <c r="A637" s="347">
        <f t="shared" ca="1" si="267"/>
        <v>0.1</v>
      </c>
      <c r="B637" s="304">
        <f t="shared" ca="1" si="268"/>
        <v>27.300000000000075</v>
      </c>
      <c r="D637" s="306">
        <f t="shared" ca="1" si="269"/>
        <v>-0.37636769523422925</v>
      </c>
      <c r="E637" s="307">
        <f t="shared" ca="1" si="270"/>
        <v>-7.5273610178176078</v>
      </c>
      <c r="F637" s="304">
        <f t="shared" ca="1" si="271"/>
        <v>7.5367643279179202</v>
      </c>
      <c r="G637" s="306">
        <f t="shared" ca="1" si="272"/>
        <v>12.395481883772105</v>
      </c>
      <c r="H637" s="307">
        <f t="shared" ca="1" si="273"/>
        <v>-76.158573710796503</v>
      </c>
      <c r="I637" s="304">
        <f t="shared" ca="1" si="274"/>
        <v>77.160717471999604</v>
      </c>
      <c r="J637" s="306">
        <f t="shared" ca="1" si="275"/>
        <v>437.2996838107656</v>
      </c>
      <c r="K637" s="307">
        <f t="shared" ca="1" si="276"/>
        <v>1589.693849796827</v>
      </c>
      <c r="L637" s="304">
        <f t="shared" ca="1" si="261"/>
        <v>1648.7442341196686</v>
      </c>
      <c r="M637" s="306">
        <f t="shared" ca="1" si="277"/>
        <v>-1.4094522418904316</v>
      </c>
      <c r="N637" s="304">
        <f t="shared" ca="1" si="278"/>
        <v>-80.755664885573736</v>
      </c>
      <c r="P637" s="310">
        <f t="shared" ca="1" si="279"/>
        <v>23</v>
      </c>
      <c r="Q637" s="304">
        <f t="shared" ca="1" si="280"/>
        <v>0</v>
      </c>
      <c r="R637" s="306">
        <f t="shared" ca="1" si="281"/>
        <v>0</v>
      </c>
      <c r="S637" s="307">
        <f t="shared" ca="1" si="282"/>
        <v>6.1519999999999921</v>
      </c>
      <c r="T637" s="304">
        <f t="shared" ca="1" si="262"/>
        <v>60.351119999999923</v>
      </c>
      <c r="U637" s="311">
        <f t="shared" ca="1" si="263"/>
        <v>0</v>
      </c>
      <c r="V637" s="306">
        <f t="shared" ca="1" si="264"/>
        <v>1.0446014283899225</v>
      </c>
      <c r="W637" s="304">
        <f t="shared" ca="1" si="265"/>
        <v>14.519201880740157</v>
      </c>
      <c r="Y637" s="314" t="str">
        <f t="shared" ca="1" si="283"/>
        <v/>
      </c>
      <c r="Z637" s="315" t="str">
        <f t="shared" ca="1" si="284"/>
        <v/>
      </c>
      <c r="AA637" s="316" t="str">
        <f t="shared" ca="1" si="285"/>
        <v/>
      </c>
      <c r="AC637" s="310" t="e">
        <f t="shared" ca="1" si="286"/>
        <v>#N/A</v>
      </c>
      <c r="AD637" s="323" t="e">
        <f t="shared" ca="1" si="287"/>
        <v>#N/A</v>
      </c>
      <c r="AE637" s="324" t="e">
        <f t="shared" ca="1" si="266"/>
        <v>#N/A</v>
      </c>
      <c r="AG637" s="306">
        <f t="shared" ca="1" si="288"/>
        <v>7.365850764725641</v>
      </c>
      <c r="AH637" s="304">
        <f t="shared" ca="1" si="289"/>
        <v>-2.313459177291572</v>
      </c>
    </row>
    <row r="638" spans="1:34" x14ac:dyDescent="0.2">
      <c r="A638" s="347">
        <f t="shared" ca="1" si="267"/>
        <v>0.1</v>
      </c>
      <c r="B638" s="304">
        <f t="shared" ca="1" si="268"/>
        <v>27.400000000000077</v>
      </c>
      <c r="D638" s="306">
        <f t="shared" ca="1" si="269"/>
        <v>-0.37913473502230977</v>
      </c>
      <c r="E638" s="307">
        <f t="shared" ca="1" si="270"/>
        <v>-7.4805737675820776</v>
      </c>
      <c r="F638" s="304">
        <f t="shared" ca="1" si="271"/>
        <v>7.4901753677425704</v>
      </c>
      <c r="G638" s="306">
        <f t="shared" ca="1" si="272"/>
        <v>12.357568410269874</v>
      </c>
      <c r="H638" s="307">
        <f t="shared" ca="1" si="273"/>
        <v>-76.906631087554715</v>
      </c>
      <c r="I638" s="304">
        <f t="shared" ca="1" si="274"/>
        <v>77.893128081055622</v>
      </c>
      <c r="J638" s="306">
        <f t="shared" ca="1" si="275"/>
        <v>438.53733632546772</v>
      </c>
      <c r="K638" s="307">
        <f t="shared" ca="1" si="276"/>
        <v>1582.0405895569095</v>
      </c>
      <c r="L638" s="304">
        <f t="shared" ca="1" si="261"/>
        <v>1641.6965073840568</v>
      </c>
      <c r="M638" s="306">
        <f t="shared" ca="1" si="277"/>
        <v>-1.4114754349034369</v>
      </c>
      <c r="N638" s="304">
        <f t="shared" ca="1" si="278"/>
        <v>-80.871585306359293</v>
      </c>
      <c r="P638" s="310">
        <f t="shared" ca="1" si="279"/>
        <v>23</v>
      </c>
      <c r="Q638" s="304">
        <f t="shared" ca="1" si="280"/>
        <v>0</v>
      </c>
      <c r="R638" s="306">
        <f t="shared" ca="1" si="281"/>
        <v>0</v>
      </c>
      <c r="S638" s="307">
        <f t="shared" ca="1" si="282"/>
        <v>6.1519999999999921</v>
      </c>
      <c r="T638" s="304">
        <f t="shared" ca="1" si="262"/>
        <v>60.351119999999923</v>
      </c>
      <c r="U638" s="311">
        <f t="shared" ca="1" si="263"/>
        <v>0</v>
      </c>
      <c r="V638" s="306">
        <f t="shared" ca="1" si="264"/>
        <v>1.0454062573077572</v>
      </c>
      <c r="W638" s="304">
        <f t="shared" ca="1" si="265"/>
        <v>14.807542882477941</v>
      </c>
      <c r="Y638" s="314" t="str">
        <f t="shared" ca="1" si="283"/>
        <v/>
      </c>
      <c r="Z638" s="315" t="str">
        <f t="shared" ca="1" si="284"/>
        <v/>
      </c>
      <c r="AA638" s="316" t="str">
        <f t="shared" ca="1" si="285"/>
        <v/>
      </c>
      <c r="AC638" s="310" t="e">
        <f t="shared" ca="1" si="286"/>
        <v>#N/A</v>
      </c>
      <c r="AD638" s="323" t="e">
        <f t="shared" ca="1" si="287"/>
        <v>#N/A</v>
      </c>
      <c r="AE638" s="324" t="e">
        <f t="shared" ca="1" si="266"/>
        <v>#N/A</v>
      </c>
      <c r="AG638" s="306">
        <f t="shared" ca="1" si="288"/>
        <v>7.3225118875158941</v>
      </c>
      <c r="AH638" s="304">
        <f t="shared" ca="1" si="289"/>
        <v>-2.3600783291190144</v>
      </c>
    </row>
    <row r="639" spans="1:34" x14ac:dyDescent="0.2">
      <c r="A639" s="347">
        <f t="shared" ca="1" si="267"/>
        <v>0.1</v>
      </c>
      <c r="B639" s="304">
        <f t="shared" ca="1" si="268"/>
        <v>27.500000000000078</v>
      </c>
      <c r="D639" s="306">
        <f t="shared" ca="1" si="269"/>
        <v>-0.38185681927422177</v>
      </c>
      <c r="E639" s="307">
        <f t="shared" ca="1" si="270"/>
        <v>-7.4335355894300683</v>
      </c>
      <c r="F639" s="304">
        <f t="shared" ca="1" si="271"/>
        <v>7.4433370197613415</v>
      </c>
      <c r="G639" s="306">
        <f t="shared" ca="1" si="272"/>
        <v>12.319382728342452</v>
      </c>
      <c r="H639" s="307">
        <f t="shared" ca="1" si="273"/>
        <v>-77.649984646497728</v>
      </c>
      <c r="I639" s="304">
        <f t="shared" ca="1" si="274"/>
        <v>78.6211632221803</v>
      </c>
      <c r="J639" s="306">
        <f t="shared" ca="1" si="275"/>
        <v>439.77118388239836</v>
      </c>
      <c r="K639" s="307">
        <f t="shared" ca="1" si="276"/>
        <v>1574.3127587702068</v>
      </c>
      <c r="L639" s="304">
        <f t="shared" ca="1" si="261"/>
        <v>1634.5823186979558</v>
      </c>
      <c r="M639" s="306">
        <f t="shared" ca="1" si="277"/>
        <v>-1.413454972271726</v>
      </c>
      <c r="N639" s="304">
        <f t="shared" ca="1" si="278"/>
        <v>-80.985004442950697</v>
      </c>
      <c r="P639" s="310">
        <f t="shared" ca="1" si="279"/>
        <v>23</v>
      </c>
      <c r="Q639" s="304">
        <f t="shared" ca="1" si="280"/>
        <v>0</v>
      </c>
      <c r="R639" s="306">
        <f t="shared" ca="1" si="281"/>
        <v>0</v>
      </c>
      <c r="S639" s="307">
        <f t="shared" ca="1" si="282"/>
        <v>6.1519999999999921</v>
      </c>
      <c r="T639" s="304">
        <f t="shared" ca="1" si="262"/>
        <v>60.351119999999923</v>
      </c>
      <c r="U639" s="311">
        <f t="shared" ca="1" si="263"/>
        <v>0</v>
      </c>
      <c r="V639" s="306">
        <f t="shared" ca="1" si="264"/>
        <v>1.0462195075637315</v>
      </c>
      <c r="W639" s="304">
        <f t="shared" ca="1" si="265"/>
        <v>15.097372050010772</v>
      </c>
      <c r="Y639" s="314" t="str">
        <f t="shared" ca="1" si="283"/>
        <v/>
      </c>
      <c r="Z639" s="315" t="str">
        <f t="shared" ca="1" si="284"/>
        <v/>
      </c>
      <c r="AA639" s="316" t="str">
        <f t="shared" ca="1" si="285"/>
        <v/>
      </c>
      <c r="AC639" s="310" t="e">
        <f t="shared" ca="1" si="286"/>
        <v>#N/A</v>
      </c>
      <c r="AD639" s="323" t="e">
        <f t="shared" ca="1" si="287"/>
        <v>#N/A</v>
      </c>
      <c r="AE639" s="324" t="e">
        <f t="shared" ca="1" si="266"/>
        <v>#N/A</v>
      </c>
      <c r="AG639" s="306">
        <f t="shared" ca="1" si="288"/>
        <v>7.2788109998023049</v>
      </c>
      <c r="AH639" s="304">
        <f t="shared" ca="1" si="289"/>
        <v>-2.4069478027434914</v>
      </c>
    </row>
    <row r="640" spans="1:34" x14ac:dyDescent="0.2">
      <c r="A640" s="347">
        <f t="shared" ca="1" si="267"/>
        <v>0.1</v>
      </c>
      <c r="B640" s="304">
        <f t="shared" ca="1" si="268"/>
        <v>27.60000000000008</v>
      </c>
      <c r="D640" s="306">
        <f t="shared" ca="1" si="269"/>
        <v>-0.38453379454873482</v>
      </c>
      <c r="E640" s="307">
        <f t="shared" ca="1" si="270"/>
        <v>-7.3862549227345697</v>
      </c>
      <c r="F640" s="304">
        <f t="shared" ca="1" si="271"/>
        <v>7.3962577039182937</v>
      </c>
      <c r="G640" s="306">
        <f t="shared" ca="1" si="272"/>
        <v>12.280929348887579</v>
      </c>
      <c r="H640" s="307">
        <f t="shared" ca="1" si="273"/>
        <v>-78.388610138771185</v>
      </c>
      <c r="I640" s="304">
        <f t="shared" ca="1" si="274"/>
        <v>79.344788267161121</v>
      </c>
      <c r="J640" s="306">
        <f t="shared" ca="1" si="275"/>
        <v>441.00119948625985</v>
      </c>
      <c r="K640" s="307">
        <f t="shared" ca="1" si="276"/>
        <v>1566.5108290309433</v>
      </c>
      <c r="L640" s="304">
        <f t="shared" ca="1" si="261"/>
        <v>1627.4022967353628</v>
      </c>
      <c r="M640" s="306">
        <f t="shared" ca="1" si="277"/>
        <v>-1.4153922877851663</v>
      </c>
      <c r="N640" s="304">
        <f t="shared" ca="1" si="278"/>
        <v>-81.09600444545606</v>
      </c>
      <c r="P640" s="310">
        <f t="shared" ca="1" si="279"/>
        <v>23</v>
      </c>
      <c r="Q640" s="304">
        <f t="shared" ca="1" si="280"/>
        <v>0</v>
      </c>
      <c r="R640" s="306">
        <f t="shared" ca="1" si="281"/>
        <v>0</v>
      </c>
      <c r="S640" s="307">
        <f t="shared" ca="1" si="282"/>
        <v>6.1519999999999921</v>
      </c>
      <c r="T640" s="304">
        <f t="shared" ca="1" si="262"/>
        <v>60.351119999999923</v>
      </c>
      <c r="U640" s="311">
        <f t="shared" ca="1" si="263"/>
        <v>0</v>
      </c>
      <c r="V640" s="306">
        <f t="shared" ca="1" si="264"/>
        <v>1.0470411469638614</v>
      </c>
      <c r="W640" s="304">
        <f t="shared" ca="1" si="265"/>
        <v>15.388637671786727</v>
      </c>
      <c r="Y640" s="314" t="str">
        <f t="shared" ca="1" si="283"/>
        <v/>
      </c>
      <c r="Z640" s="315" t="str">
        <f t="shared" ca="1" si="284"/>
        <v/>
      </c>
      <c r="AA640" s="316" t="str">
        <f t="shared" ca="1" si="285"/>
        <v/>
      </c>
      <c r="AC640" s="310" t="e">
        <f t="shared" ca="1" si="286"/>
        <v>#N/A</v>
      </c>
      <c r="AD640" s="323" t="e">
        <f t="shared" ca="1" si="287"/>
        <v>#N/A</v>
      </c>
      <c r="AE640" s="324" t="e">
        <f t="shared" ca="1" si="266"/>
        <v>#N/A</v>
      </c>
      <c r="AG640" s="306">
        <f t="shared" ca="1" si="288"/>
        <v>7.2347614693897171</v>
      </c>
      <c r="AH640" s="304">
        <f t="shared" ca="1" si="289"/>
        <v>-2.4540591758795176</v>
      </c>
    </row>
    <row r="641" spans="1:34" x14ac:dyDescent="0.2">
      <c r="A641" s="347">
        <f t="shared" ca="1" si="267"/>
        <v>0.1</v>
      </c>
      <c r="B641" s="304">
        <f t="shared" ca="1" si="268"/>
        <v>27.700000000000081</v>
      </c>
      <c r="D641" s="306">
        <f t="shared" ca="1" si="269"/>
        <v>-0.38716552144765298</v>
      </c>
      <c r="E641" s="307">
        <f t="shared" ca="1" si="270"/>
        <v>-7.338740190767143</v>
      </c>
      <c r="F641" s="304">
        <f t="shared" ca="1" si="271"/>
        <v>7.3489458243056056</v>
      </c>
      <c r="G641" s="306">
        <f t="shared" ca="1" si="272"/>
        <v>12.242212796742814</v>
      </c>
      <c r="H641" s="307">
        <f t="shared" ca="1" si="273"/>
        <v>-79.122484157847893</v>
      </c>
      <c r="I641" s="304">
        <f t="shared" ca="1" si="274"/>
        <v>80.063969883272861</v>
      </c>
      <c r="J641" s="306">
        <f t="shared" ca="1" si="275"/>
        <v>442.22735659354134</v>
      </c>
      <c r="K641" s="307">
        <f t="shared" ca="1" si="276"/>
        <v>1558.6352743161124</v>
      </c>
      <c r="L641" s="304">
        <f t="shared" ca="1" si="261"/>
        <v>1620.1570767250237</v>
      </c>
      <c r="M641" s="306">
        <f t="shared" ca="1" si="277"/>
        <v>-1.4172887534083671</v>
      </c>
      <c r="N641" s="304">
        <f t="shared" ca="1" si="278"/>
        <v>-81.204663921657101</v>
      </c>
      <c r="P641" s="310">
        <f t="shared" ca="1" si="279"/>
        <v>23</v>
      </c>
      <c r="Q641" s="304">
        <f t="shared" ca="1" si="280"/>
        <v>0</v>
      </c>
      <c r="R641" s="306">
        <f t="shared" ca="1" si="281"/>
        <v>0</v>
      </c>
      <c r="S641" s="307">
        <f t="shared" ca="1" si="282"/>
        <v>6.1519999999999921</v>
      </c>
      <c r="T641" s="304">
        <f t="shared" ca="1" si="262"/>
        <v>60.351119999999923</v>
      </c>
      <c r="U641" s="311">
        <f t="shared" ca="1" si="263"/>
        <v>0</v>
      </c>
      <c r="V641" s="306">
        <f t="shared" ca="1" si="264"/>
        <v>1.0478711431180512</v>
      </c>
      <c r="W641" s="304">
        <f t="shared" ca="1" si="265"/>
        <v>15.681288154552346</v>
      </c>
      <c r="Y641" s="314" t="str">
        <f t="shared" ca="1" si="283"/>
        <v/>
      </c>
      <c r="Z641" s="315" t="str">
        <f t="shared" ca="1" si="284"/>
        <v/>
      </c>
      <c r="AA641" s="316" t="str">
        <f t="shared" ca="1" si="285"/>
        <v/>
      </c>
      <c r="AC641" s="310" t="e">
        <f t="shared" ca="1" si="286"/>
        <v>#N/A</v>
      </c>
      <c r="AD641" s="323" t="e">
        <f t="shared" ca="1" si="287"/>
        <v>#N/A</v>
      </c>
      <c r="AE641" s="324" t="e">
        <f t="shared" ca="1" si="266"/>
        <v>#N/A</v>
      </c>
      <c r="AG641" s="306">
        <f t="shared" ca="1" si="288"/>
        <v>7.1903763784404315</v>
      </c>
      <c r="AH641" s="304">
        <f t="shared" ca="1" si="289"/>
        <v>-2.5014040428782098</v>
      </c>
    </row>
    <row r="642" spans="1:34" x14ac:dyDescent="0.2">
      <c r="A642" s="347">
        <f t="shared" ca="1" si="267"/>
        <v>0.1</v>
      </c>
      <c r="B642" s="304">
        <f t="shared" ca="1" si="268"/>
        <v>27.800000000000082</v>
      </c>
      <c r="D642" s="306">
        <f t="shared" ca="1" si="269"/>
        <v>-0.38975187439361181</v>
      </c>
      <c r="E642" s="307">
        <f t="shared" ca="1" si="270"/>
        <v>-7.29099979805898</v>
      </c>
      <c r="F642" s="304">
        <f t="shared" ca="1" si="271"/>
        <v>7.3014097665375157</v>
      </c>
      <c r="G642" s="306">
        <f t="shared" ca="1" si="272"/>
        <v>12.203237609303454</v>
      </c>
      <c r="H642" s="307">
        <f t="shared" ca="1" si="273"/>
        <v>-79.851584137653788</v>
      </c>
      <c r="I642" s="304">
        <f t="shared" ca="1" si="274"/>
        <v>80.77867600698788</v>
      </c>
      <c r="J642" s="306">
        <f t="shared" ca="1" si="275"/>
        <v>443.44962911384368</v>
      </c>
      <c r="K642" s="307">
        <f t="shared" ca="1" si="276"/>
        <v>1550.6865709013373</v>
      </c>
      <c r="L642" s="304">
        <f t="shared" ca="1" si="261"/>
        <v>1612.847300501493</v>
      </c>
      <c r="M642" s="306">
        <f t="shared" ca="1" si="277"/>
        <v>-1.4191456825430835</v>
      </c>
      <c r="N642" s="304">
        <f t="shared" ca="1" si="278"/>
        <v>-81.311058123931232</v>
      </c>
      <c r="P642" s="310">
        <f t="shared" ca="1" si="279"/>
        <v>23</v>
      </c>
      <c r="Q642" s="304">
        <f t="shared" ca="1" si="280"/>
        <v>0</v>
      </c>
      <c r="R642" s="306">
        <f t="shared" ca="1" si="281"/>
        <v>0</v>
      </c>
      <c r="S642" s="307">
        <f t="shared" ca="1" si="282"/>
        <v>6.1519999999999921</v>
      </c>
      <c r="T642" s="304">
        <f t="shared" ca="1" si="262"/>
        <v>60.351119999999923</v>
      </c>
      <c r="U642" s="311">
        <f t="shared" ca="1" si="263"/>
        <v>0</v>
      </c>
      <c r="V642" s="306">
        <f t="shared" ca="1" si="264"/>
        <v>1.0487094634452114</v>
      </c>
      <c r="W642" s="304">
        <f t="shared" ca="1" si="265"/>
        <v>15.975272039076613</v>
      </c>
      <c r="Y642" s="314" t="str">
        <f t="shared" ca="1" si="283"/>
        <v/>
      </c>
      <c r="Z642" s="315" t="str">
        <f t="shared" ca="1" si="284"/>
        <v/>
      </c>
      <c r="AA642" s="316" t="str">
        <f t="shared" ca="1" si="285"/>
        <v/>
      </c>
      <c r="AC642" s="310" t="e">
        <f t="shared" ca="1" si="286"/>
        <v>#N/A</v>
      </c>
      <c r="AD642" s="323" t="e">
        <f t="shared" ca="1" si="287"/>
        <v>#N/A</v>
      </c>
      <c r="AE642" s="324" t="e">
        <f t="shared" ca="1" si="266"/>
        <v>#N/A</v>
      </c>
      <c r="AG642" s="306">
        <f t="shared" ca="1" si="288"/>
        <v>7.1456685381280911</v>
      </c>
      <c r="AH642" s="304">
        <f t="shared" ca="1" si="289"/>
        <v>-2.5489740173199555</v>
      </c>
    </row>
    <row r="643" spans="1:34" x14ac:dyDescent="0.2">
      <c r="A643" s="347">
        <f t="shared" ca="1" si="267"/>
        <v>0.1</v>
      </c>
      <c r="B643" s="304">
        <f t="shared" ca="1" si="268"/>
        <v>27.900000000000084</v>
      </c>
      <c r="D643" s="306">
        <f t="shared" ca="1" si="269"/>
        <v>-0.39229274141271808</v>
      </c>
      <c r="E643" s="307">
        <f t="shared" ca="1" si="270"/>
        <v>-7.2430421278016457</v>
      </c>
      <c r="F643" s="304">
        <f t="shared" ca="1" si="271"/>
        <v>7.253657895163963</v>
      </c>
      <c r="G643" s="306">
        <f t="shared" ca="1" si="272"/>
        <v>12.164008335162181</v>
      </c>
      <c r="H643" s="307">
        <f t="shared" ca="1" si="273"/>
        <v>-80.575888350433956</v>
      </c>
      <c r="I643" s="304">
        <f t="shared" ca="1" si="274"/>
        <v>81.488875818969873</v>
      </c>
      <c r="J643" s="306">
        <f t="shared" ca="1" si="275"/>
        <v>444.66799141106696</v>
      </c>
      <c r="K643" s="307">
        <f t="shared" ca="1" si="276"/>
        <v>1542.665197276933</v>
      </c>
      <c r="L643" s="304">
        <f t="shared" ca="1" si="261"/>
        <v>1605.4736165614902</v>
      </c>
      <c r="M643" s="306">
        <f t="shared" ca="1" si="277"/>
        <v>-1.4209643330882169</v>
      </c>
      <c r="N643" s="304">
        <f t="shared" ca="1" si="278"/>
        <v>-81.415259124576551</v>
      </c>
      <c r="P643" s="310">
        <f t="shared" ca="1" si="279"/>
        <v>23</v>
      </c>
      <c r="Q643" s="304">
        <f t="shared" ca="1" si="280"/>
        <v>0</v>
      </c>
      <c r="R643" s="306">
        <f t="shared" ca="1" si="281"/>
        <v>0</v>
      </c>
      <c r="S643" s="307">
        <f t="shared" ca="1" si="282"/>
        <v>6.1519999999999921</v>
      </c>
      <c r="T643" s="304">
        <f t="shared" ca="1" si="262"/>
        <v>60.351119999999923</v>
      </c>
      <c r="U643" s="311">
        <f t="shared" ca="1" si="263"/>
        <v>0</v>
      </c>
      <c r="V643" s="306">
        <f t="shared" ca="1" si="264"/>
        <v>1.0495560751783755</v>
      </c>
      <c r="W643" s="304">
        <f t="shared" ca="1" si="265"/>
        <v>16.270538015642575</v>
      </c>
      <c r="Y643" s="314" t="str">
        <f t="shared" ca="1" si="283"/>
        <v/>
      </c>
      <c r="Z643" s="315" t="str">
        <f t="shared" ca="1" si="284"/>
        <v/>
      </c>
      <c r="AA643" s="316" t="str">
        <f t="shared" ca="1" si="285"/>
        <v/>
      </c>
      <c r="AC643" s="310" t="e">
        <f t="shared" ca="1" si="286"/>
        <v>#N/A</v>
      </c>
      <c r="AD643" s="323" t="e">
        <f t="shared" ca="1" si="287"/>
        <v>#N/A</v>
      </c>
      <c r="AE643" s="324" t="e">
        <f t="shared" ca="1" si="266"/>
        <v>#N/A</v>
      </c>
      <c r="AG643" s="306">
        <f t="shared" ca="1" si="288"/>
        <v>7.1006505020612263</v>
      </c>
      <c r="AH643" s="304">
        <f t="shared" ca="1" si="289"/>
        <v>-2.5967607345703239</v>
      </c>
    </row>
    <row r="644" spans="1:34" x14ac:dyDescent="0.2">
      <c r="A644" s="347">
        <f t="shared" ca="1" si="267"/>
        <v>0.1</v>
      </c>
      <c r="B644" s="304">
        <f t="shared" ca="1" si="268"/>
        <v>28.000000000000085</v>
      </c>
      <c r="D644" s="306">
        <f t="shared" ca="1" si="269"/>
        <v>-0.39478802392146067</v>
      </c>
      <c r="E644" s="307">
        <f t="shared" ca="1" si="270"/>
        <v>-7.1948755392882644</v>
      </c>
      <c r="F644" s="304">
        <f t="shared" ca="1" si="271"/>
        <v>7.2056985511246863</v>
      </c>
      <c r="G644" s="306">
        <f t="shared" ca="1" si="272"/>
        <v>12.124529532770035</v>
      </c>
      <c r="H644" s="307">
        <f t="shared" ca="1" si="273"/>
        <v>-81.295375904362785</v>
      </c>
      <c r="I644" s="304">
        <f t="shared" ca="1" si="274"/>
        <v>82.194539720243355</v>
      </c>
      <c r="J644" s="306">
        <f t="shared" ca="1" si="275"/>
        <v>445.88241830446356</v>
      </c>
      <c r="K644" s="307">
        <f t="shared" ca="1" si="276"/>
        <v>1534.5716340641932</v>
      </c>
      <c r="L644" s="304">
        <f t="shared" ref="L644:L707" ca="1" si="290">SQRT(pos_x^2+pos_z^2)</f>
        <v>1598.036680125799</v>
      </c>
      <c r="M644" s="306">
        <f t="shared" ca="1" si="277"/>
        <v>-1.4227459103117599</v>
      </c>
      <c r="N644" s="304">
        <f t="shared" ca="1" si="278"/>
        <v>-81.517335980362191</v>
      </c>
      <c r="P644" s="310">
        <f t="shared" ca="1" si="279"/>
        <v>23</v>
      </c>
      <c r="Q644" s="304">
        <f t="shared" ca="1" si="280"/>
        <v>0</v>
      </c>
      <c r="R644" s="306">
        <f t="shared" ca="1" si="281"/>
        <v>0</v>
      </c>
      <c r="S644" s="307">
        <f t="shared" ca="1" si="282"/>
        <v>6.1519999999999921</v>
      </c>
      <c r="T644" s="304">
        <f t="shared" ref="T644:T707" ca="1" si="291">m*g</f>
        <v>60.351119999999923</v>
      </c>
      <c r="U644" s="311">
        <f t="shared" ref="U644:U707" ca="1" si="292">IF(pos_xz&lt;L_rampe,Poids*COS(Beta),0)</f>
        <v>0</v>
      </c>
      <c r="V644" s="306">
        <f t="shared" ref="V644:V707" ca="1" si="293">Rho_moyen*(20000-Alt_rampe-pos_z)/(20000+Alt_rampe+pos_z)</f>
        <v>1.0504109453698149</v>
      </c>
      <c r="W644" s="304">
        <f t="shared" ref="W644:W707" ca="1" si="294">1/2*Rho*Sref*Cx*vit_xz^2</f>
        <v>16.567034939300463</v>
      </c>
      <c r="Y644" s="314" t="str">
        <f t="shared" ca="1" si="283"/>
        <v/>
      </c>
      <c r="Z644" s="315" t="str">
        <f t="shared" ca="1" si="284"/>
        <v/>
      </c>
      <c r="AA644" s="316" t="str">
        <f t="shared" ca="1" si="285"/>
        <v/>
      </c>
      <c r="AC644" s="310">
        <f t="shared" ca="1" si="286"/>
        <v>28.000000000000085</v>
      </c>
      <c r="AD644" s="323">
        <f t="shared" ca="1" si="287"/>
        <v>445.88241830446356</v>
      </c>
      <c r="AE644" s="324" t="e">
        <f t="shared" ref="AE644:AE707" ca="1" si="295">IF(t&lt;T_para, pos_z, NA())</f>
        <v>#N/A</v>
      </c>
      <c r="AG644" s="306">
        <f t="shared" ca="1" si="288"/>
        <v>7.0553345785820483</v>
      </c>
      <c r="AH644" s="304">
        <f t="shared" ca="1" si="289"/>
        <v>-2.6447558542982113</v>
      </c>
    </row>
    <row r="645" spans="1:34" x14ac:dyDescent="0.2">
      <c r="A645" s="347">
        <f t="shared" ref="A645:A708" ca="1" si="296">IF(B644+0.01&lt;=T_ini+ROUNDUP(Temps_fin_propu,0), 0.01, IF(K644&gt;0, 0.1, 0.0001))</f>
        <v>0.1</v>
      </c>
      <c r="B645" s="304">
        <f t="shared" ref="B645:B708" ca="1" si="297">B644+pas</f>
        <v>28.100000000000087</v>
      </c>
      <c r="D645" s="306">
        <f t="shared" ref="D645:D708" ca="1" si="298">IF(AND(L644&lt;L_rampe,Poussee&lt;Poids*SIN(M644)),0,(-W644+Poussee)/m*COS(M644)-U644/m*SIN(M644))</f>
        <v>-0.39723763651739941</v>
      </c>
      <c r="E645" s="307">
        <f t="shared" ref="E645:E708" ca="1" si="299">IF(AND(L644&lt;L_rampe,Poussee&lt;Poids*SIN(M644)),0,(-W644+Poussee)/m*SIN(M644)+U644/m*COS(M644)-Poids/m)</f>
        <v>-7.1465083653959613</v>
      </c>
      <c r="F645" s="304">
        <f t="shared" ref="F645:F708" ca="1" si="300">SQRT(acc_x^2+acc_z^2)</f>
        <v>7.1575400492445995</v>
      </c>
      <c r="G645" s="306">
        <f t="shared" ref="G645:G708" ca="1" si="301">G644+acc_x*pas</f>
        <v>12.084805769118296</v>
      </c>
      <c r="H645" s="307">
        <f t="shared" ref="H645:H708" ca="1" si="302">H644+acc_z*pas</f>
        <v>-82.010026740902376</v>
      </c>
      <c r="I645" s="304">
        <f t="shared" ref="I645:I708" ca="1" si="303">SQRT(vit_x^2+vit_z^2)</f>
        <v>82.895639309440384</v>
      </c>
      <c r="J645" s="306">
        <f t="shared" ref="J645:J708" ca="1" si="304">J644+0.5*(vit_x+G644)*pas*(K644&gt;=0)</f>
        <v>447.09288506955795</v>
      </c>
      <c r="K645" s="307">
        <f t="shared" ref="K645:K708" ca="1" si="305">K644+0.5*(vit_z+H644)*pas</f>
        <v>1526.4063639319299</v>
      </c>
      <c r="L645" s="304">
        <f t="shared" ca="1" si="290"/>
        <v>1590.5371532069651</v>
      </c>
      <c r="M645" s="306">
        <f t="shared" ref="M645:M708" ca="1" si="306">IF(AND(L644&gt;L_rampe,G645&gt;0),ATAN2(G645,H645),$M$4)</f>
        <v>-1.4244915695479028</v>
      </c>
      <c r="N645" s="304">
        <f t="shared" ref="N645:N708" ca="1" si="307">DEGREES(Beta)</f>
        <v>-81.617354887061211</v>
      </c>
      <c r="P645" s="310">
        <f t="shared" ref="P645:P708" ca="1" si="308">MATCH(t-pas/2-T_ini,CdP_t)</f>
        <v>23</v>
      </c>
      <c r="Q645" s="304">
        <f t="shared" ref="Q645:Q708" ca="1" si="309">(INDEX(CdP,2,i_P+1)-INDEX(CdP,2,i_P+0))/(INDEX(CdP,1,i_P+1)-INDEX(CdP,1,i_P+0))*(t-pas/2-T_ini-INDEX(CdP,1,i_P+0))+INDEX(CdP,2,i_P+0)</f>
        <v>0</v>
      </c>
      <c r="R645" s="306">
        <f t="shared" ref="R645:R708" ca="1" si="310">Poussee/(g*ISP)</f>
        <v>0</v>
      </c>
      <c r="S645" s="307">
        <f t="shared" ref="S645:S708" ca="1" si="311">S644-Débit*pas</f>
        <v>6.1519999999999921</v>
      </c>
      <c r="T645" s="304">
        <f t="shared" ca="1" si="291"/>
        <v>60.351119999999923</v>
      </c>
      <c r="U645" s="311">
        <f t="shared" ca="1" si="292"/>
        <v>0</v>
      </c>
      <c r="V645" s="306">
        <f t="shared" ca="1" si="293"/>
        <v>1.0512740408961534</v>
      </c>
      <c r="W645" s="304">
        <f t="shared" ca="1" si="294"/>
        <v>16.864711844876524</v>
      </c>
      <c r="Y645" s="314" t="str">
        <f t="shared" ref="Y645:Y708" ca="1" si="312">IF(AND(pos_z&lt;=0,K644&gt;0),"Impact balistique","") &amp; IF(AND(H646&lt;0,vit_z&gt;=0),"Apogée","") &amp; IF(AND(Poussee=0,Q644&gt;0),"Fin de propulsion","") &amp; IF(AND(L646&gt;L_rampe,pos_xz&lt;=L_rampe),"Sortie de rampe","")</f>
        <v/>
      </c>
      <c r="Z645" s="315" t="str">
        <f t="shared" ref="Z645:Z708" ca="1" si="313">IF(ABS(t-T_para)&lt;pas/2,"Para","")</f>
        <v/>
      </c>
      <c r="AA645" s="316" t="str">
        <f t="shared" ref="AA645:AA708" ca="1" si="314">IF(ABS(t-T_satellite)&lt;pas/2,"Satellite","")</f>
        <v/>
      </c>
      <c r="AC645" s="310" t="e">
        <f t="shared" ref="AC645:AC708" ca="1" si="315">IF(ABS(t-ROUND(t,0))&lt;0.001,t,NA())</f>
        <v>#N/A</v>
      </c>
      <c r="AD645" s="323" t="e">
        <f t="shared" ref="AD645:AD708" ca="1" si="316">IF(ABS(t-ROUND(t,0))&lt;0.001,pos_x,NA())</f>
        <v>#N/A</v>
      </c>
      <c r="AE645" s="324" t="e">
        <f t="shared" ca="1" si="295"/>
        <v>#N/A</v>
      </c>
      <c r="AG645" s="306">
        <f t="shared" ref="AG645:AG708" ca="1" si="317">IF(AND(L644&lt;L_rampe,Poussee&lt;Poids*SIN(M644)),0,(-W644+Poussee)/m-Poids*SIN(M644)/m)</f>
        <v>7.0097328420363976</v>
      </c>
      <c r="AH645" s="304">
        <f t="shared" ref="AH645:AH708" ca="1" si="318">IF(AND(L644&lt;L_rampe,Poussee&lt;Poids*SIN(M644)), g*SIN(M644), (-W644+Poussee)/m)</f>
        <v>-2.6929510629552151</v>
      </c>
    </row>
    <row r="646" spans="1:34" x14ac:dyDescent="0.2">
      <c r="A646" s="347">
        <f t="shared" ca="1" si="296"/>
        <v>0.1</v>
      </c>
      <c r="B646" s="304">
        <f t="shared" ca="1" si="297"/>
        <v>28.200000000000088</v>
      </c>
      <c r="D646" s="306">
        <f t="shared" ca="1" si="298"/>
        <v>-0.39964150677317434</v>
      </c>
      <c r="E646" s="307">
        <f t="shared" ca="1" si="299"/>
        <v>-7.0979489101103042</v>
      </c>
      <c r="F646" s="304">
        <f t="shared" ca="1" si="300"/>
        <v>7.1091906757711874</v>
      </c>
      <c r="G646" s="306">
        <f t="shared" ca="1" si="301"/>
        <v>12.044841618440978</v>
      </c>
      <c r="H646" s="307">
        <f t="shared" ca="1" si="302"/>
        <v>-82.719821631913405</v>
      </c>
      <c r="I646" s="304">
        <f t="shared" ca="1" si="303"/>
        <v>83.592147361034435</v>
      </c>
      <c r="J646" s="306">
        <f t="shared" ca="1" si="304"/>
        <v>448.29936743893592</v>
      </c>
      <c r="K646" s="307">
        <f t="shared" ca="1" si="305"/>
        <v>1518.1698715132891</v>
      </c>
      <c r="L646" s="304">
        <f t="shared" ca="1" si="290"/>
        <v>1582.9757046830589</v>
      </c>
      <c r="M646" s="306">
        <f t="shared" ca="1" si="306"/>
        <v>-1.4262024187314748</v>
      </c>
      <c r="N646" s="304">
        <f t="shared" ca="1" si="307"/>
        <v>-81.715379324663289</v>
      </c>
      <c r="P646" s="310">
        <f t="shared" ca="1" si="308"/>
        <v>23</v>
      </c>
      <c r="Q646" s="304">
        <f t="shared" ca="1" si="309"/>
        <v>0</v>
      </c>
      <c r="R646" s="306">
        <f t="shared" ca="1" si="310"/>
        <v>0</v>
      </c>
      <c r="S646" s="307">
        <f t="shared" ca="1" si="311"/>
        <v>6.1519999999999921</v>
      </c>
      <c r="T646" s="304">
        <f t="shared" ca="1" si="291"/>
        <v>60.351119999999923</v>
      </c>
      <c r="U646" s="311">
        <f t="shared" ca="1" si="292"/>
        <v>0</v>
      </c>
      <c r="V646" s="306">
        <f t="shared" ca="1" si="293"/>
        <v>1.0521453284634761</v>
      </c>
      <c r="W646" s="304">
        <f t="shared" ca="1" si="294"/>
        <v>17.163517961732005</v>
      </c>
      <c r="Y646" s="314" t="str">
        <f t="shared" ca="1" si="312"/>
        <v/>
      </c>
      <c r="Z646" s="315" t="str">
        <f t="shared" ca="1" si="313"/>
        <v/>
      </c>
      <c r="AA646" s="316" t="str">
        <f t="shared" ca="1" si="314"/>
        <v/>
      </c>
      <c r="AC646" s="310" t="e">
        <f t="shared" ca="1" si="315"/>
        <v>#N/A</v>
      </c>
      <c r="AD646" s="323" t="e">
        <f t="shared" ca="1" si="316"/>
        <v>#N/A</v>
      </c>
      <c r="AE646" s="324" t="e">
        <f t="shared" ca="1" si="295"/>
        <v>#N/A</v>
      </c>
      <c r="AG646" s="306">
        <f t="shared" ca="1" si="317"/>
        <v>6.963857143102242</v>
      </c>
      <c r="AH646" s="304">
        <f t="shared" ca="1" si="318"/>
        <v>-2.7413380762153032</v>
      </c>
    </row>
    <row r="647" spans="1:34" x14ac:dyDescent="0.2">
      <c r="A647" s="347">
        <f t="shared" ca="1" si="296"/>
        <v>0.1</v>
      </c>
      <c r="B647" s="304">
        <f t="shared" ca="1" si="297"/>
        <v>28.30000000000009</v>
      </c>
      <c r="D647" s="306">
        <f t="shared" ca="1" si="298"/>
        <v>-0.40199957503343481</v>
      </c>
      <c r="E647" s="307">
        <f t="shared" ca="1" si="299"/>
        <v>-7.0492054460924649</v>
      </c>
      <c r="F647" s="304">
        <f t="shared" ca="1" si="300"/>
        <v>7.0606586859546416</v>
      </c>
      <c r="G647" s="306">
        <f t="shared" ca="1" si="301"/>
        <v>12.004641660937635</v>
      </c>
      <c r="H647" s="307">
        <f t="shared" ca="1" si="302"/>
        <v>-83.424742176522656</v>
      </c>
      <c r="I647" s="304">
        <f t="shared" ca="1" si="303"/>
        <v>84.284037804478714</v>
      </c>
      <c r="J647" s="306">
        <f t="shared" ca="1" si="304"/>
        <v>449.50184160290485</v>
      </c>
      <c r="K647" s="307">
        <f t="shared" ca="1" si="305"/>
        <v>1509.8626433228674</v>
      </c>
      <c r="L647" s="304">
        <f t="shared" ca="1" si="290"/>
        <v>1575.3530103777755</v>
      </c>
      <c r="M647" s="306">
        <f t="shared" ca="1" si="306"/>
        <v>-1.4278795207809476</v>
      </c>
      <c r="N647" s="304">
        <f t="shared" ca="1" si="307"/>
        <v>-81.811470193910822</v>
      </c>
      <c r="P647" s="310">
        <f t="shared" ca="1" si="308"/>
        <v>23</v>
      </c>
      <c r="Q647" s="304">
        <f t="shared" ca="1" si="309"/>
        <v>0</v>
      </c>
      <c r="R647" s="306">
        <f t="shared" ca="1" si="310"/>
        <v>0</v>
      </c>
      <c r="S647" s="307">
        <f t="shared" ca="1" si="311"/>
        <v>6.1519999999999921</v>
      </c>
      <c r="T647" s="304">
        <f t="shared" ca="1" si="291"/>
        <v>60.351119999999923</v>
      </c>
      <c r="U647" s="311">
        <f t="shared" ca="1" si="292"/>
        <v>0</v>
      </c>
      <c r="V647" s="306">
        <f t="shared" ca="1" si="293"/>
        <v>1.0530247746124346</v>
      </c>
      <c r="W647" s="304">
        <f t="shared" ca="1" si="294"/>
        <v>17.463402728266864</v>
      </c>
      <c r="Y647" s="314" t="str">
        <f t="shared" ca="1" si="312"/>
        <v/>
      </c>
      <c r="Z647" s="315" t="str">
        <f t="shared" ca="1" si="313"/>
        <v/>
      </c>
      <c r="AA647" s="316" t="str">
        <f t="shared" ca="1" si="314"/>
        <v/>
      </c>
      <c r="AC647" s="310" t="e">
        <f t="shared" ca="1" si="315"/>
        <v>#N/A</v>
      </c>
      <c r="AD647" s="323" t="e">
        <f t="shared" ca="1" si="316"/>
        <v>#N/A</v>
      </c>
      <c r="AE647" s="324" t="e">
        <f t="shared" ca="1" si="295"/>
        <v>#N/A</v>
      </c>
      <c r="AG647" s="306">
        <f t="shared" ca="1" si="317"/>
        <v>6.9177191182562652</v>
      </c>
      <c r="AH647" s="304">
        <f t="shared" ca="1" si="318"/>
        <v>-2.7899086413738665</v>
      </c>
    </row>
    <row r="648" spans="1:34" x14ac:dyDescent="0.2">
      <c r="A648" s="347">
        <f t="shared" ca="1" si="296"/>
        <v>0.1</v>
      </c>
      <c r="B648" s="304">
        <f t="shared" ca="1" si="297"/>
        <v>28.400000000000091</v>
      </c>
      <c r="D648" s="306">
        <f t="shared" ca="1" si="298"/>
        <v>-0.40431179421431268</v>
      </c>
      <c r="E648" s="307">
        <f t="shared" ca="1" si="299"/>
        <v>-7.0002862122898364</v>
      </c>
      <c r="F648" s="304">
        <f t="shared" ca="1" si="300"/>
        <v>7.0119523016714815</v>
      </c>
      <c r="G648" s="306">
        <f t="shared" ca="1" si="301"/>
        <v>11.964210481516204</v>
      </c>
      <c r="H648" s="307">
        <f t="shared" ca="1" si="302"/>
        <v>-84.124770797751637</v>
      </c>
      <c r="I648" s="304">
        <f t="shared" ca="1" si="303"/>
        <v>84.97128570417344</v>
      </c>
      <c r="J648" s="306">
        <f t="shared" ca="1" si="304"/>
        <v>450.70028421002752</v>
      </c>
      <c r="K648" s="307">
        <f t="shared" ca="1" si="305"/>
        <v>1501.4851676741537</v>
      </c>
      <c r="L648" s="304">
        <f t="shared" ca="1" si="290"/>
        <v>1567.6697531471611</v>
      </c>
      <c r="M648" s="306">
        <f t="shared" ca="1" si="306"/>
        <v>-1.4295238958403533</v>
      </c>
      <c r="N648" s="304">
        <f t="shared" ca="1" si="307"/>
        <v>-81.90568594475134</v>
      </c>
      <c r="P648" s="310">
        <f t="shared" ca="1" si="308"/>
        <v>23</v>
      </c>
      <c r="Q648" s="304">
        <f t="shared" ca="1" si="309"/>
        <v>0</v>
      </c>
      <c r="R648" s="306">
        <f t="shared" ca="1" si="310"/>
        <v>0</v>
      </c>
      <c r="S648" s="307">
        <f t="shared" ca="1" si="311"/>
        <v>6.1519999999999921</v>
      </c>
      <c r="T648" s="304">
        <f t="shared" ca="1" si="291"/>
        <v>60.351119999999923</v>
      </c>
      <c r="U648" s="311">
        <f t="shared" ca="1" si="292"/>
        <v>0</v>
      </c>
      <c r="V648" s="306">
        <f t="shared" ca="1" si="293"/>
        <v>1.0539123457233446</v>
      </c>
      <c r="W648" s="304">
        <f t="shared" ca="1" si="294"/>
        <v>17.764315806163193</v>
      </c>
      <c r="Y648" s="314" t="str">
        <f t="shared" ca="1" si="312"/>
        <v/>
      </c>
      <c r="Z648" s="315" t="str">
        <f t="shared" ca="1" si="313"/>
        <v/>
      </c>
      <c r="AA648" s="316" t="str">
        <f t="shared" ca="1" si="314"/>
        <v/>
      </c>
      <c r="AC648" s="310" t="e">
        <f t="shared" ca="1" si="315"/>
        <v>#N/A</v>
      </c>
      <c r="AD648" s="323" t="e">
        <f t="shared" ca="1" si="316"/>
        <v>#N/A</v>
      </c>
      <c r="AE648" s="324" t="e">
        <f t="shared" ca="1" si="295"/>
        <v>#N/A</v>
      </c>
      <c r="AG648" s="306">
        <f t="shared" ca="1" si="317"/>
        <v>6.8713301984511412</v>
      </c>
      <c r="AH648" s="304">
        <f t="shared" ca="1" si="318"/>
        <v>-2.8386545397052805</v>
      </c>
    </row>
    <row r="649" spans="1:34" x14ac:dyDescent="0.2">
      <c r="A649" s="347">
        <f t="shared" ca="1" si="296"/>
        <v>0.1</v>
      </c>
      <c r="B649" s="304">
        <f t="shared" ca="1" si="297"/>
        <v>28.500000000000092</v>
      </c>
      <c r="D649" s="306">
        <f t="shared" ca="1" si="298"/>
        <v>-0.40657812960513179</v>
      </c>
      <c r="E649" s="307">
        <f t="shared" ca="1" si="299"/>
        <v>-6.9511994115907836</v>
      </c>
      <c r="F649" s="304">
        <f t="shared" ca="1" si="300"/>
        <v>6.9630797090923258</v>
      </c>
      <c r="G649" s="306">
        <f t="shared" ca="1" si="301"/>
        <v>11.923552668555692</v>
      </c>
      <c r="H649" s="307">
        <f t="shared" ca="1" si="302"/>
        <v>-84.819890738910715</v>
      </c>
      <c r="I649" s="304">
        <f t="shared" ca="1" si="303"/>
        <v>85.653867240192795</v>
      </c>
      <c r="J649" s="306">
        <f t="shared" ca="1" si="304"/>
        <v>451.89467236753109</v>
      </c>
      <c r="K649" s="307">
        <f t="shared" ca="1" si="305"/>
        <v>1493.0379345973206</v>
      </c>
      <c r="L649" s="304">
        <f t="shared" ca="1" si="290"/>
        <v>1559.92662297327</v>
      </c>
      <c r="M649" s="306">
        <f t="shared" ca="1" si="306"/>
        <v>-1.4311365233896873</v>
      </c>
      <c r="N649" s="304">
        <f t="shared" ca="1" si="307"/>
        <v>-81.998082697254702</v>
      </c>
      <c r="P649" s="310">
        <f t="shared" ca="1" si="308"/>
        <v>23</v>
      </c>
      <c r="Q649" s="304">
        <f t="shared" ca="1" si="309"/>
        <v>0</v>
      </c>
      <c r="R649" s="306">
        <f t="shared" ca="1" si="310"/>
        <v>0</v>
      </c>
      <c r="S649" s="307">
        <f t="shared" ca="1" si="311"/>
        <v>6.1519999999999921</v>
      </c>
      <c r="T649" s="304">
        <f t="shared" ca="1" si="291"/>
        <v>60.351119999999923</v>
      </c>
      <c r="U649" s="311">
        <f t="shared" ca="1" si="292"/>
        <v>0</v>
      </c>
      <c r="V649" s="306">
        <f t="shared" ca="1" si="293"/>
        <v>1.0548080080212745</v>
      </c>
      <c r="W649" s="304">
        <f t="shared" ca="1" si="294"/>
        <v>18.066207094363655</v>
      </c>
      <c r="Y649" s="314" t="str">
        <f t="shared" ca="1" si="312"/>
        <v/>
      </c>
      <c r="Z649" s="315" t="str">
        <f t="shared" ca="1" si="313"/>
        <v/>
      </c>
      <c r="AA649" s="316" t="str">
        <f t="shared" ca="1" si="314"/>
        <v/>
      </c>
      <c r="AC649" s="310" t="e">
        <f t="shared" ca="1" si="315"/>
        <v>#N/A</v>
      </c>
      <c r="AD649" s="323" t="e">
        <f t="shared" ca="1" si="316"/>
        <v>#N/A</v>
      </c>
      <c r="AE649" s="324" t="e">
        <f t="shared" ca="1" si="295"/>
        <v>#N/A</v>
      </c>
      <c r="AG649" s="306">
        <f t="shared" ca="1" si="317"/>
        <v>6.8247016170696977</v>
      </c>
      <c r="AH649" s="304">
        <f t="shared" ca="1" si="318"/>
        <v>-2.8875675887781558</v>
      </c>
    </row>
    <row r="650" spans="1:34" x14ac:dyDescent="0.2">
      <c r="A650" s="347">
        <f t="shared" ca="1" si="296"/>
        <v>0.1</v>
      </c>
      <c r="B650" s="304">
        <f t="shared" ca="1" si="297"/>
        <v>28.600000000000094</v>
      </c>
      <c r="D650" s="306">
        <f t="shared" ca="1" si="298"/>
        <v>-0.40879855867204157</v>
      </c>
      <c r="E650" s="307">
        <f t="shared" ca="1" si="299"/>
        <v>-6.9019532085241462</v>
      </c>
      <c r="F650" s="304">
        <f t="shared" ca="1" si="300"/>
        <v>6.9140490563944583</v>
      </c>
      <c r="G650" s="306">
        <f t="shared" ca="1" si="301"/>
        <v>11.882672812688487</v>
      </c>
      <c r="H650" s="307">
        <f t="shared" ca="1" si="302"/>
        <v>-85.510086059763125</v>
      </c>
      <c r="I650" s="304">
        <f t="shared" ca="1" si="303"/>
        <v>86.331759689708065</v>
      </c>
      <c r="J650" s="306">
        <f t="shared" ca="1" si="304"/>
        <v>453.08498364159328</v>
      </c>
      <c r="K650" s="307">
        <f t="shared" ca="1" si="305"/>
        <v>1484.5214357573868</v>
      </c>
      <c r="L650" s="304">
        <f t="shared" ca="1" si="290"/>
        <v>1552.1243170650589</v>
      </c>
      <c r="M650" s="306">
        <f t="shared" ca="1" si="306"/>
        <v>-1.4327183442326243</v>
      </c>
      <c r="N650" s="304">
        <f t="shared" ca="1" si="307"/>
        <v>-82.088714355500827</v>
      </c>
      <c r="P650" s="310">
        <f t="shared" ca="1" si="308"/>
        <v>23</v>
      </c>
      <c r="Q650" s="304">
        <f t="shared" ca="1" si="309"/>
        <v>0</v>
      </c>
      <c r="R650" s="306">
        <f t="shared" ca="1" si="310"/>
        <v>0</v>
      </c>
      <c r="S650" s="307">
        <f t="shared" ca="1" si="311"/>
        <v>6.1519999999999921</v>
      </c>
      <c r="T650" s="304">
        <f t="shared" ca="1" si="291"/>
        <v>60.351119999999923</v>
      </c>
      <c r="U650" s="311">
        <f t="shared" ca="1" si="292"/>
        <v>0</v>
      </c>
      <c r="V650" s="306">
        <f t="shared" ca="1" si="293"/>
        <v>1.0557117275811279</v>
      </c>
      <c r="W650" s="304">
        <f t="shared" ca="1" si="294"/>
        <v>18.369026742780285</v>
      </c>
      <c r="Y650" s="314" t="str">
        <f t="shared" ca="1" si="312"/>
        <v/>
      </c>
      <c r="Z650" s="315" t="str">
        <f t="shared" ca="1" si="313"/>
        <v/>
      </c>
      <c r="AA650" s="316" t="str">
        <f t="shared" ca="1" si="314"/>
        <v/>
      </c>
      <c r="AC650" s="310" t="e">
        <f t="shared" ca="1" si="315"/>
        <v>#N/A</v>
      </c>
      <c r="AD650" s="323" t="e">
        <f t="shared" ca="1" si="316"/>
        <v>#N/A</v>
      </c>
      <c r="AE650" s="324" t="e">
        <f t="shared" ca="1" si="295"/>
        <v>#N/A</v>
      </c>
      <c r="AG650" s="306">
        <f t="shared" ca="1" si="317"/>
        <v>6.7778444172164125</v>
      </c>
      <c r="AH650" s="304">
        <f t="shared" ca="1" si="318"/>
        <v>-2.9366396447275158</v>
      </c>
    </row>
    <row r="651" spans="1:34" x14ac:dyDescent="0.2">
      <c r="A651" s="347">
        <f t="shared" ca="1" si="296"/>
        <v>0.1</v>
      </c>
      <c r="B651" s="304">
        <f t="shared" ca="1" si="297"/>
        <v>28.700000000000095</v>
      </c>
      <c r="D651" s="306">
        <f t="shared" ca="1" si="298"/>
        <v>-0.41097307086333851</v>
      </c>
      <c r="E651" s="307">
        <f t="shared" ca="1" si="299"/>
        <v>-6.8525557270041375</v>
      </c>
      <c r="F651" s="304">
        <f t="shared" ca="1" si="300"/>
        <v>6.864868451519814</v>
      </c>
      <c r="G651" s="306">
        <f t="shared" ca="1" si="301"/>
        <v>11.841575505602153</v>
      </c>
      <c r="H651" s="307">
        <f t="shared" ca="1" si="302"/>
        <v>-86.195341632463538</v>
      </c>
      <c r="I651" s="304">
        <f t="shared" ca="1" si="303"/>
        <v>87.004941409048598</v>
      </c>
      <c r="J651" s="306">
        <f t="shared" ca="1" si="304"/>
        <v>454.27119605750784</v>
      </c>
      <c r="K651" s="307">
        <f t="shared" ca="1" si="305"/>
        <v>1475.9361643727755</v>
      </c>
      <c r="L651" s="304">
        <f t="shared" ca="1" si="290"/>
        <v>1544.2635399668475</v>
      </c>
      <c r="M651" s="306">
        <f t="shared" ca="1" si="306"/>
        <v>-1.434270262369725</v>
      </c>
      <c r="N651" s="304">
        <f t="shared" ca="1" si="307"/>
        <v>-82.177632714906494</v>
      </c>
      <c r="P651" s="310">
        <f t="shared" ca="1" si="308"/>
        <v>23</v>
      </c>
      <c r="Q651" s="304">
        <f t="shared" ca="1" si="309"/>
        <v>0</v>
      </c>
      <c r="R651" s="306">
        <f t="shared" ca="1" si="310"/>
        <v>0</v>
      </c>
      <c r="S651" s="307">
        <f t="shared" ca="1" si="311"/>
        <v>6.1519999999999921</v>
      </c>
      <c r="T651" s="304">
        <f t="shared" ca="1" si="291"/>
        <v>60.351119999999923</v>
      </c>
      <c r="U651" s="311">
        <f t="shared" ca="1" si="292"/>
        <v>0</v>
      </c>
      <c r="V651" s="306">
        <f t="shared" ca="1" si="293"/>
        <v>1.056623470332712</v>
      </c>
      <c r="W651" s="304">
        <f t="shared" ca="1" si="294"/>
        <v>18.672725165729346</v>
      </c>
      <c r="Y651" s="314" t="str">
        <f t="shared" ca="1" si="312"/>
        <v/>
      </c>
      <c r="Z651" s="315" t="str">
        <f t="shared" ca="1" si="313"/>
        <v/>
      </c>
      <c r="AA651" s="316" t="str">
        <f t="shared" ca="1" si="314"/>
        <v/>
      </c>
      <c r="AC651" s="310" t="e">
        <f t="shared" ca="1" si="315"/>
        <v>#N/A</v>
      </c>
      <c r="AD651" s="323" t="e">
        <f t="shared" ca="1" si="316"/>
        <v>#N/A</v>
      </c>
      <c r="AE651" s="324" t="e">
        <f t="shared" ca="1" si="295"/>
        <v>#N/A</v>
      </c>
      <c r="AG651" s="306">
        <f t="shared" ca="1" si="317"/>
        <v>6.7307694584015785</v>
      </c>
      <c r="AH651" s="304">
        <f t="shared" ca="1" si="318"/>
        <v>-2.9858626044831449</v>
      </c>
    </row>
    <row r="652" spans="1:34" x14ac:dyDescent="0.2">
      <c r="A652" s="347">
        <f t="shared" ca="1" si="296"/>
        <v>0.1</v>
      </c>
      <c r="B652" s="304">
        <f t="shared" ca="1" si="297"/>
        <v>28.800000000000097</v>
      </c>
      <c r="D652" s="306">
        <f t="shared" ca="1" si="298"/>
        <v>-0.41310166741622445</v>
      </c>
      <c r="E652" s="307">
        <f t="shared" ca="1" si="299"/>
        <v>-6.8030150481212388</v>
      </c>
      <c r="F652" s="304">
        <f t="shared" ca="1" si="300"/>
        <v>6.8155459599790014</v>
      </c>
      <c r="G652" s="306">
        <f t="shared" ca="1" si="301"/>
        <v>11.80026533886053</v>
      </c>
      <c r="H652" s="307">
        <f t="shared" ca="1" si="302"/>
        <v>-86.875643137275659</v>
      </c>
      <c r="I652" s="304">
        <f t="shared" ca="1" si="303"/>
        <v>87.673391816347475</v>
      </c>
      <c r="J652" s="306">
        <f t="shared" ca="1" si="304"/>
        <v>455.45328809973097</v>
      </c>
      <c r="K652" s="307">
        <f t="shared" ca="1" si="305"/>
        <v>1467.2826151342886</v>
      </c>
      <c r="L652" s="304">
        <f t="shared" ca="1" si="290"/>
        <v>1536.3450036746867</v>
      </c>
      <c r="M652" s="306">
        <f t="shared" ca="1" si="306"/>
        <v>-1.4357931467646883</v>
      </c>
      <c r="N652" s="304">
        <f t="shared" ca="1" si="307"/>
        <v>-82.264887563424224</v>
      </c>
      <c r="P652" s="310">
        <f t="shared" ca="1" si="308"/>
        <v>23</v>
      </c>
      <c r="Q652" s="304">
        <f t="shared" ca="1" si="309"/>
        <v>0</v>
      </c>
      <c r="R652" s="306">
        <f t="shared" ca="1" si="310"/>
        <v>0</v>
      </c>
      <c r="S652" s="307">
        <f t="shared" ca="1" si="311"/>
        <v>6.1519999999999921</v>
      </c>
      <c r="T652" s="304">
        <f t="shared" ca="1" si="291"/>
        <v>60.351119999999923</v>
      </c>
      <c r="U652" s="311">
        <f t="shared" ca="1" si="292"/>
        <v>0</v>
      </c>
      <c r="V652" s="306">
        <f t="shared" ca="1" si="293"/>
        <v>1.0575432020657953</v>
      </c>
      <c r="W652" s="304">
        <f t="shared" ca="1" si="294"/>
        <v>18.977253055088344</v>
      </c>
      <c r="Y652" s="314" t="str">
        <f t="shared" ca="1" si="312"/>
        <v/>
      </c>
      <c r="Z652" s="315" t="str">
        <f t="shared" ca="1" si="313"/>
        <v/>
      </c>
      <c r="AA652" s="316" t="str">
        <f t="shared" ca="1" si="314"/>
        <v/>
      </c>
      <c r="AC652" s="310" t="e">
        <f t="shared" ca="1" si="315"/>
        <v>#N/A</v>
      </c>
      <c r="AD652" s="323" t="e">
        <f t="shared" ca="1" si="316"/>
        <v>#N/A</v>
      </c>
      <c r="AE652" s="324" t="e">
        <f t="shared" ca="1" si="295"/>
        <v>#N/A</v>
      </c>
      <c r="AG652" s="306">
        <f t="shared" ca="1" si="317"/>
        <v>6.6834874226686738</v>
      </c>
      <c r="AH652" s="304">
        <f t="shared" ca="1" si="318"/>
        <v>-3.0352284079534089</v>
      </c>
    </row>
    <row r="653" spans="1:34" x14ac:dyDescent="0.2">
      <c r="A653" s="347">
        <f t="shared" ca="1" si="296"/>
        <v>0.1</v>
      </c>
      <c r="B653" s="304">
        <f t="shared" ca="1" si="297"/>
        <v>28.900000000000098</v>
      </c>
      <c r="D653" s="306">
        <f t="shared" ca="1" si="298"/>
        <v>-0.41518436116481405</v>
      </c>
      <c r="E653" s="307">
        <f t="shared" ca="1" si="299"/>
        <v>-6.7533392079796108</v>
      </c>
      <c r="F653" s="304">
        <f t="shared" ca="1" si="300"/>
        <v>6.7660896027018822</v>
      </c>
      <c r="G653" s="306">
        <f t="shared" ca="1" si="301"/>
        <v>11.758746902744049</v>
      </c>
      <c r="H653" s="307">
        <f t="shared" ca="1" si="302"/>
        <v>-87.550977058073627</v>
      </c>
      <c r="I653" s="304">
        <f t="shared" ca="1" si="303"/>
        <v>88.337091374722803</v>
      </c>
      <c r="J653" s="306">
        <f t="shared" ca="1" si="304"/>
        <v>456.63123871181119</v>
      </c>
      <c r="K653" s="307">
        <f t="shared" ca="1" si="305"/>
        <v>1458.5612841245211</v>
      </c>
      <c r="L653" s="304">
        <f t="shared" ca="1" si="290"/>
        <v>1528.3694277609898</v>
      </c>
      <c r="M653" s="306">
        <f t="shared" ca="1" si="306"/>
        <v>-1.4372878330106524</v>
      </c>
      <c r="N653" s="304">
        <f t="shared" ca="1" si="307"/>
        <v>-82.350526777014224</v>
      </c>
      <c r="P653" s="310">
        <f t="shared" ca="1" si="308"/>
        <v>23</v>
      </c>
      <c r="Q653" s="304">
        <f t="shared" ca="1" si="309"/>
        <v>0</v>
      </c>
      <c r="R653" s="306">
        <f t="shared" ca="1" si="310"/>
        <v>0</v>
      </c>
      <c r="S653" s="307">
        <f t="shared" ca="1" si="311"/>
        <v>6.1519999999999921</v>
      </c>
      <c r="T653" s="304">
        <f t="shared" ca="1" si="291"/>
        <v>60.351119999999923</v>
      </c>
      <c r="U653" s="311">
        <f t="shared" ca="1" si="292"/>
        <v>0</v>
      </c>
      <c r="V653" s="306">
        <f t="shared" ca="1" si="293"/>
        <v>1.0584708884351532</v>
      </c>
      <c r="W653" s="304">
        <f t="shared" ca="1" si="294"/>
        <v>19.282561393171335</v>
      </c>
      <c r="Y653" s="314" t="str">
        <f t="shared" ca="1" si="312"/>
        <v/>
      </c>
      <c r="Z653" s="315" t="str">
        <f t="shared" ca="1" si="313"/>
        <v/>
      </c>
      <c r="AA653" s="316" t="str">
        <f t="shared" ca="1" si="314"/>
        <v/>
      </c>
      <c r="AC653" s="310" t="e">
        <f t="shared" ca="1" si="315"/>
        <v>#N/A</v>
      </c>
      <c r="AD653" s="323" t="e">
        <f t="shared" ca="1" si="316"/>
        <v>#N/A</v>
      </c>
      <c r="AE653" s="324" t="e">
        <f t="shared" ca="1" si="295"/>
        <v>#N/A</v>
      </c>
      <c r="AG653" s="306">
        <f t="shared" ca="1" si="317"/>
        <v>6.6360088202112468</v>
      </c>
      <c r="AH653" s="304">
        <f t="shared" ca="1" si="318"/>
        <v>-3.0847290401639089</v>
      </c>
    </row>
    <row r="654" spans="1:34" x14ac:dyDescent="0.2">
      <c r="A654" s="347">
        <f t="shared" ca="1" si="296"/>
        <v>0.1</v>
      </c>
      <c r="B654" s="304">
        <f t="shared" ca="1" si="297"/>
        <v>29.000000000000099</v>
      </c>
      <c r="D654" s="306">
        <f t="shared" ca="1" si="298"/>
        <v>-0.4172211763492043</v>
      </c>
      <c r="E654" s="307">
        <f t="shared" ca="1" si="299"/>
        <v>-6.703536195581572</v>
      </c>
      <c r="F654" s="304">
        <f t="shared" ca="1" si="300"/>
        <v>6.7165073539352633</v>
      </c>
      <c r="G654" s="306">
        <f t="shared" ca="1" si="301"/>
        <v>11.717024785109128</v>
      </c>
      <c r="H654" s="307">
        <f t="shared" ca="1" si="302"/>
        <v>-88.221330677631784</v>
      </c>
      <c r="I654" s="304">
        <f t="shared" ca="1" si="303"/>
        <v>88.996021575949769</v>
      </c>
      <c r="J654" s="306">
        <f t="shared" ca="1" si="304"/>
        <v>457.80502729620383</v>
      </c>
      <c r="K654" s="307">
        <f t="shared" ca="1" si="305"/>
        <v>1449.7726687377358</v>
      </c>
      <c r="L654" s="304">
        <f t="shared" ca="1" si="290"/>
        <v>1520.3375395077944</v>
      </c>
      <c r="M654" s="306">
        <f t="shared" ca="1" si="306"/>
        <v>-1.4387551249030281</v>
      </c>
      <c r="N654" s="304">
        <f t="shared" ca="1" si="307"/>
        <v>-82.434596409761113</v>
      </c>
      <c r="P654" s="310">
        <f t="shared" ca="1" si="308"/>
        <v>23</v>
      </c>
      <c r="Q654" s="304">
        <f t="shared" ca="1" si="309"/>
        <v>0</v>
      </c>
      <c r="R654" s="306">
        <f t="shared" ca="1" si="310"/>
        <v>0</v>
      </c>
      <c r="S654" s="307">
        <f t="shared" ca="1" si="311"/>
        <v>6.1519999999999921</v>
      </c>
      <c r="T654" s="304">
        <f t="shared" ca="1" si="291"/>
        <v>60.351119999999923</v>
      </c>
      <c r="U654" s="311">
        <f t="shared" ca="1" si="292"/>
        <v>0</v>
      </c>
      <c r="V654" s="306">
        <f t="shared" ca="1" si="293"/>
        <v>1.0594064949655957</v>
      </c>
      <c r="W654" s="304">
        <f t="shared" ca="1" si="294"/>
        <v>19.588601465319051</v>
      </c>
      <c r="Y654" s="314" t="str">
        <f t="shared" ca="1" si="312"/>
        <v/>
      </c>
      <c r="Z654" s="315" t="str">
        <f t="shared" ca="1" si="313"/>
        <v/>
      </c>
      <c r="AA654" s="316" t="str">
        <f t="shared" ca="1" si="314"/>
        <v/>
      </c>
      <c r="AC654" s="310">
        <f t="shared" ca="1" si="315"/>
        <v>29.000000000000099</v>
      </c>
      <c r="AD654" s="323">
        <f t="shared" ca="1" si="316"/>
        <v>457.80502729620383</v>
      </c>
      <c r="AE654" s="324" t="e">
        <f t="shared" ca="1" si="295"/>
        <v>#N/A</v>
      </c>
      <c r="AG654" s="306">
        <f t="shared" ca="1" si="317"/>
        <v>6.5883439945217379</v>
      </c>
      <c r="AH654" s="304">
        <f t="shared" ca="1" si="318"/>
        <v>-3.1343565333503509</v>
      </c>
    </row>
    <row r="655" spans="1:34" x14ac:dyDescent="0.2">
      <c r="A655" s="347">
        <f t="shared" ca="1" si="296"/>
        <v>0.1</v>
      </c>
      <c r="B655" s="304">
        <f t="shared" ca="1" si="297"/>
        <v>29.100000000000101</v>
      </c>
      <c r="D655" s="306">
        <f t="shared" ca="1" si="298"/>
        <v>-0.41921214842545163</v>
      </c>
      <c r="E655" s="307">
        <f t="shared" ca="1" si="299"/>
        <v>-6.6536139507596195</v>
      </c>
      <c r="F655" s="304">
        <f t="shared" ca="1" si="300"/>
        <v>6.6668071391881822</v>
      </c>
      <c r="G655" s="306">
        <f t="shared" ca="1" si="301"/>
        <v>11.675103570266582</v>
      </c>
      <c r="H655" s="307">
        <f t="shared" ca="1" si="302"/>
        <v>-88.886692072707746</v>
      </c>
      <c r="I655" s="304">
        <f t="shared" ca="1" si="303"/>
        <v>89.65016492458237</v>
      </c>
      <c r="J655" s="306">
        <f t="shared" ca="1" si="304"/>
        <v>458.97463371397259</v>
      </c>
      <c r="K655" s="307">
        <f t="shared" ca="1" si="305"/>
        <v>1440.9172676002188</v>
      </c>
      <c r="L655" s="304">
        <f t="shared" ca="1" si="290"/>
        <v>1512.2500740490495</v>
      </c>
      <c r="M655" s="306">
        <f t="shared" ca="1" si="306"/>
        <v>-1.4401957959248777</v>
      </c>
      <c r="N655" s="304">
        <f t="shared" ca="1" si="307"/>
        <v>-82.517140778979893</v>
      </c>
      <c r="P655" s="310">
        <f t="shared" ca="1" si="308"/>
        <v>23</v>
      </c>
      <c r="Q655" s="304">
        <f t="shared" ca="1" si="309"/>
        <v>0</v>
      </c>
      <c r="R655" s="306">
        <f t="shared" ca="1" si="310"/>
        <v>0</v>
      </c>
      <c r="S655" s="307">
        <f t="shared" ca="1" si="311"/>
        <v>6.1519999999999921</v>
      </c>
      <c r="T655" s="304">
        <f t="shared" ca="1" si="291"/>
        <v>60.351119999999923</v>
      </c>
      <c r="U655" s="311">
        <f t="shared" ca="1" si="292"/>
        <v>0</v>
      </c>
      <c r="V655" s="306">
        <f t="shared" ca="1" si="293"/>
        <v>1.0603499870569828</v>
      </c>
      <c r="W655" s="304">
        <f t="shared" ca="1" si="294"/>
        <v>19.89532487220059</v>
      </c>
      <c r="Y655" s="314" t="str">
        <f t="shared" ca="1" si="312"/>
        <v/>
      </c>
      <c r="Z655" s="315" t="str">
        <f t="shared" ca="1" si="313"/>
        <v/>
      </c>
      <c r="AA655" s="316" t="str">
        <f t="shared" ca="1" si="314"/>
        <v/>
      </c>
      <c r="AC655" s="310" t="e">
        <f t="shared" ca="1" si="315"/>
        <v>#N/A</v>
      </c>
      <c r="AD655" s="323" t="e">
        <f t="shared" ca="1" si="316"/>
        <v>#N/A</v>
      </c>
      <c r="AE655" s="324" t="e">
        <f t="shared" ca="1" si="295"/>
        <v>#N/A</v>
      </c>
      <c r="AG655" s="306">
        <f t="shared" ca="1" si="317"/>
        <v>6.5405031271111245</v>
      </c>
      <c r="AH655" s="304">
        <f t="shared" ca="1" si="318"/>
        <v>-3.1841029690050515</v>
      </c>
    </row>
    <row r="656" spans="1:34" x14ac:dyDescent="0.2">
      <c r="A656" s="347">
        <f t="shared" ca="1" si="296"/>
        <v>0.1</v>
      </c>
      <c r="B656" s="304">
        <f t="shared" ca="1" si="297"/>
        <v>29.200000000000102</v>
      </c>
      <c r="D656" s="306">
        <f t="shared" ca="1" si="298"/>
        <v>-0.42115732387632071</v>
      </c>
      <c r="E656" s="307">
        <f t="shared" ca="1" si="299"/>
        <v>-6.6035803621564462</v>
      </c>
      <c r="F656" s="304">
        <f t="shared" ca="1" si="300"/>
        <v>6.6169968332252456</v>
      </c>
      <c r="G656" s="306">
        <f t="shared" ca="1" si="301"/>
        <v>11.63298783787895</v>
      </c>
      <c r="H656" s="307">
        <f t="shared" ca="1" si="302"/>
        <v>-89.547050108923386</v>
      </c>
      <c r="I656" s="304">
        <f t="shared" ca="1" si="303"/>
        <v>90.299504922487117</v>
      </c>
      <c r="J656" s="306">
        <f t="shared" ca="1" si="304"/>
        <v>460.1400382843799</v>
      </c>
      <c r="K656" s="307">
        <f t="shared" ca="1" si="305"/>
        <v>1431.9955804911372</v>
      </c>
      <c r="L656" s="304">
        <f t="shared" ca="1" si="290"/>
        <v>1504.1077745223245</v>
      </c>
      <c r="M656" s="306">
        <f t="shared" ca="1" si="306"/>
        <v>-1.4416105906504186</v>
      </c>
      <c r="N656" s="304">
        <f t="shared" ca="1" si="307"/>
        <v>-82.59820254563077</v>
      </c>
      <c r="P656" s="310">
        <f t="shared" ca="1" si="308"/>
        <v>23</v>
      </c>
      <c r="Q656" s="304">
        <f t="shared" ca="1" si="309"/>
        <v>0</v>
      </c>
      <c r="R656" s="306">
        <f t="shared" ca="1" si="310"/>
        <v>0</v>
      </c>
      <c r="S656" s="307">
        <f t="shared" ca="1" si="311"/>
        <v>6.1519999999999921</v>
      </c>
      <c r="T656" s="304">
        <f t="shared" ca="1" si="291"/>
        <v>60.351119999999923</v>
      </c>
      <c r="U656" s="311">
        <f t="shared" ca="1" si="292"/>
        <v>0</v>
      </c>
      <c r="V656" s="306">
        <f t="shared" ca="1" si="293"/>
        <v>1.0613013299892216</v>
      </c>
      <c r="W656" s="304">
        <f t="shared" ca="1" si="294"/>
        <v>20.202683541823713</v>
      </c>
      <c r="Y656" s="314" t="str">
        <f t="shared" ca="1" si="312"/>
        <v/>
      </c>
      <c r="Z656" s="315" t="str">
        <f t="shared" ca="1" si="313"/>
        <v/>
      </c>
      <c r="AA656" s="316" t="str">
        <f t="shared" ca="1" si="314"/>
        <v/>
      </c>
      <c r="AC656" s="310" t="e">
        <f t="shared" ca="1" si="315"/>
        <v>#N/A</v>
      </c>
      <c r="AD656" s="323" t="e">
        <f t="shared" ca="1" si="316"/>
        <v>#N/A</v>
      </c>
      <c r="AE656" s="324" t="e">
        <f t="shared" ca="1" si="295"/>
        <v>#N/A</v>
      </c>
      <c r="AG656" s="306">
        <f t="shared" ca="1" si="317"/>
        <v>6.4924962418350969</v>
      </c>
      <c r="AH656" s="304">
        <f t="shared" ca="1" si="318"/>
        <v>-3.2339604798765631</v>
      </c>
    </row>
    <row r="657" spans="1:34" x14ac:dyDescent="0.2">
      <c r="A657" s="347">
        <f t="shared" ca="1" si="296"/>
        <v>0.1</v>
      </c>
      <c r="B657" s="304">
        <f t="shared" ca="1" si="297"/>
        <v>29.300000000000104</v>
      </c>
      <c r="D657" s="306">
        <f t="shared" ca="1" si="298"/>
        <v>-0.42305676002268666</v>
      </c>
      <c r="E657" s="307">
        <f t="shared" ca="1" si="299"/>
        <v>-6.553443265253371</v>
      </c>
      <c r="F657" s="304">
        <f t="shared" ca="1" si="300"/>
        <v>6.5670842581084381</v>
      </c>
      <c r="G657" s="306">
        <f t="shared" ca="1" si="301"/>
        <v>11.590682161876682</v>
      </c>
      <c r="H657" s="307">
        <f t="shared" ca="1" si="302"/>
        <v>-90.202394435448724</v>
      </c>
      <c r="I657" s="304">
        <f t="shared" ca="1" si="303"/>
        <v>90.944026053754172</v>
      </c>
      <c r="J657" s="306">
        <f t="shared" ca="1" si="304"/>
        <v>461.30122178436767</v>
      </c>
      <c r="K657" s="307">
        <f t="shared" ca="1" si="305"/>
        <v>1423.0081082639185</v>
      </c>
      <c r="L657" s="304">
        <f t="shared" ca="1" si="290"/>
        <v>1495.9113922303709</v>
      </c>
      <c r="M657" s="306">
        <f t="shared" ca="1" si="306"/>
        <v>-1.4430002260718298</v>
      </c>
      <c r="N657" s="304">
        <f t="shared" ca="1" si="307"/>
        <v>-82.677822790339505</v>
      </c>
      <c r="P657" s="310">
        <f t="shared" ca="1" si="308"/>
        <v>23</v>
      </c>
      <c r="Q657" s="304">
        <f t="shared" ca="1" si="309"/>
        <v>0</v>
      </c>
      <c r="R657" s="306">
        <f t="shared" ca="1" si="310"/>
        <v>0</v>
      </c>
      <c r="S657" s="307">
        <f t="shared" ca="1" si="311"/>
        <v>6.1519999999999921</v>
      </c>
      <c r="T657" s="304">
        <f t="shared" ca="1" si="291"/>
        <v>60.351119999999923</v>
      </c>
      <c r="U657" s="311">
        <f t="shared" ca="1" si="292"/>
        <v>0</v>
      </c>
      <c r="V657" s="306">
        <f t="shared" ca="1" si="293"/>
        <v>1.062260488927242</v>
      </c>
      <c r="W657" s="304">
        <f t="shared" ca="1" si="294"/>
        <v>20.510629741250927</v>
      </c>
      <c r="Y657" s="314" t="str">
        <f t="shared" ca="1" si="312"/>
        <v/>
      </c>
      <c r="Z657" s="315" t="str">
        <f t="shared" ca="1" si="313"/>
        <v/>
      </c>
      <c r="AA657" s="316" t="str">
        <f t="shared" ca="1" si="314"/>
        <v/>
      </c>
      <c r="AC657" s="310" t="e">
        <f t="shared" ca="1" si="315"/>
        <v>#N/A</v>
      </c>
      <c r="AD657" s="323" t="e">
        <f t="shared" ca="1" si="316"/>
        <v>#N/A</v>
      </c>
      <c r="AE657" s="324" t="e">
        <f t="shared" ca="1" si="295"/>
        <v>#N/A</v>
      </c>
      <c r="AG657" s="306">
        <f t="shared" ca="1" si="317"/>
        <v>6.4443332088594785</v>
      </c>
      <c r="AH657" s="304">
        <f t="shared" ca="1" si="318"/>
        <v>-3.2839212519219343</v>
      </c>
    </row>
    <row r="658" spans="1:34" x14ac:dyDescent="0.2">
      <c r="A658" s="347">
        <f t="shared" ca="1" si="296"/>
        <v>0.1</v>
      </c>
      <c r="B658" s="304">
        <f t="shared" ca="1" si="297"/>
        <v>29.400000000000105</v>
      </c>
      <c r="D658" s="306">
        <f t="shared" ca="1" si="298"/>
        <v>-0.42491052483549091</v>
      </c>
      <c r="E658" s="307">
        <f t="shared" ca="1" si="299"/>
        <v>-6.5032104404475639</v>
      </c>
      <c r="F658" s="304">
        <f t="shared" ca="1" si="300"/>
        <v>6.5170771812878021</v>
      </c>
      <c r="G658" s="306">
        <f t="shared" ca="1" si="301"/>
        <v>11.548191109393134</v>
      </c>
      <c r="H658" s="307">
        <f t="shared" ca="1" si="302"/>
        <v>-90.852715479493483</v>
      </c>
      <c r="I658" s="304">
        <f t="shared" ca="1" si="303"/>
        <v>91.583713769953988</v>
      </c>
      <c r="J658" s="306">
        <f t="shared" ca="1" si="304"/>
        <v>462.45816544793115</v>
      </c>
      <c r="K658" s="307">
        <f t="shared" ca="1" si="305"/>
        <v>1413.9553527681715</v>
      </c>
      <c r="L658" s="304">
        <f t="shared" ca="1" si="290"/>
        <v>1487.6616868129765</v>
      </c>
      <c r="M658" s="306">
        <f t="shared" ca="1" si="306"/>
        <v>-1.4443653928541722</v>
      </c>
      <c r="N658" s="304">
        <f t="shared" ca="1" si="307"/>
        <v>-82.756041085299174</v>
      </c>
      <c r="P658" s="310">
        <f t="shared" ca="1" si="308"/>
        <v>23</v>
      </c>
      <c r="Q658" s="304">
        <f t="shared" ca="1" si="309"/>
        <v>0</v>
      </c>
      <c r="R658" s="306">
        <f t="shared" ca="1" si="310"/>
        <v>0</v>
      </c>
      <c r="S658" s="307">
        <f t="shared" ca="1" si="311"/>
        <v>6.1519999999999921</v>
      </c>
      <c r="T658" s="304">
        <f t="shared" ca="1" si="291"/>
        <v>60.351119999999923</v>
      </c>
      <c r="U658" s="311">
        <f t="shared" ca="1" si="292"/>
        <v>0</v>
      </c>
      <c r="V658" s="306">
        <f t="shared" ca="1" si="293"/>
        <v>1.0632274289259596</v>
      </c>
      <c r="W658" s="304">
        <f t="shared" ca="1" si="294"/>
        <v>20.819116088018976</v>
      </c>
      <c r="Y658" s="314" t="str">
        <f t="shared" ca="1" si="312"/>
        <v/>
      </c>
      <c r="Z658" s="315" t="str">
        <f t="shared" ca="1" si="313"/>
        <v/>
      </c>
      <c r="AA658" s="316" t="str">
        <f t="shared" ca="1" si="314"/>
        <v/>
      </c>
      <c r="AC658" s="310" t="e">
        <f t="shared" ca="1" si="315"/>
        <v>#N/A</v>
      </c>
      <c r="AD658" s="323" t="e">
        <f t="shared" ca="1" si="316"/>
        <v>#N/A</v>
      </c>
      <c r="AE658" s="324" t="e">
        <f t="shared" ca="1" si="295"/>
        <v>#N/A</v>
      </c>
      <c r="AG658" s="306">
        <f t="shared" ca="1" si="317"/>
        <v>6.3960237482950433</v>
      </c>
      <c r="AH658" s="304">
        <f t="shared" ca="1" si="318"/>
        <v>-3.3339775262111431</v>
      </c>
    </row>
    <row r="659" spans="1:34" x14ac:dyDescent="0.2">
      <c r="A659" s="347">
        <f t="shared" ca="1" si="296"/>
        <v>0.1</v>
      </c>
      <c r="B659" s="304">
        <f t="shared" ca="1" si="297"/>
        <v>29.500000000000107</v>
      </c>
      <c r="D659" s="306">
        <f t="shared" ca="1" si="298"/>
        <v>-0.42671869674815971</v>
      </c>
      <c r="E659" s="307">
        <f t="shared" ca="1" si="299"/>
        <v>-6.4528896111784126</v>
      </c>
      <c r="F659" s="304">
        <f t="shared" ca="1" si="300"/>
        <v>6.4669833137413253</v>
      </c>
      <c r="G659" s="306">
        <f t="shared" ca="1" si="301"/>
        <v>11.505519239718318</v>
      </c>
      <c r="H659" s="307">
        <f t="shared" ca="1" si="302"/>
        <v>-91.498004440611325</v>
      </c>
      <c r="I659" s="304">
        <f t="shared" ca="1" si="303"/>
        <v>92.218554475710903</v>
      </c>
      <c r="J659" s="306">
        <f t="shared" ca="1" si="304"/>
        <v>463.6108509653867</v>
      </c>
      <c r="K659" s="307">
        <f t="shared" ca="1" si="305"/>
        <v>1404.8378167721662</v>
      </c>
      <c r="L659" s="304">
        <f t="shared" ca="1" si="290"/>
        <v>1479.3594264295734</v>
      </c>
      <c r="M659" s="306">
        <f t="shared" ca="1" si="306"/>
        <v>-1.4457067565228934</v>
      </c>
      <c r="N659" s="304">
        <f t="shared" ca="1" si="307"/>
        <v>-82.832895562309091</v>
      </c>
      <c r="P659" s="310">
        <f t="shared" ca="1" si="308"/>
        <v>23</v>
      </c>
      <c r="Q659" s="304">
        <f t="shared" ca="1" si="309"/>
        <v>0</v>
      </c>
      <c r="R659" s="306">
        <f t="shared" ca="1" si="310"/>
        <v>0</v>
      </c>
      <c r="S659" s="307">
        <f t="shared" ca="1" si="311"/>
        <v>6.1519999999999921</v>
      </c>
      <c r="T659" s="304">
        <f t="shared" ca="1" si="291"/>
        <v>60.351119999999923</v>
      </c>
      <c r="U659" s="311">
        <f t="shared" ca="1" si="292"/>
        <v>0</v>
      </c>
      <c r="V659" s="306">
        <f t="shared" ca="1" si="293"/>
        <v>1.0642021149352097</v>
      </c>
      <c r="W659" s="304">
        <f t="shared" ca="1" si="294"/>
        <v>21.128095561259343</v>
      </c>
      <c r="Y659" s="314" t="str">
        <f t="shared" ca="1" si="312"/>
        <v/>
      </c>
      <c r="Z659" s="315" t="str">
        <f t="shared" ca="1" si="313"/>
        <v/>
      </c>
      <c r="AA659" s="316" t="str">
        <f t="shared" ca="1" si="314"/>
        <v/>
      </c>
      <c r="AC659" s="310" t="e">
        <f t="shared" ca="1" si="315"/>
        <v>#N/A</v>
      </c>
      <c r="AD659" s="323" t="e">
        <f t="shared" ca="1" si="316"/>
        <v>#N/A</v>
      </c>
      <c r="AE659" s="324" t="e">
        <f t="shared" ca="1" si="295"/>
        <v>#N/A</v>
      </c>
      <c r="AG659" s="306">
        <f t="shared" ca="1" si="317"/>
        <v>6.3475774335293655</v>
      </c>
      <c r="AH659" s="304">
        <f t="shared" ca="1" si="318"/>
        <v>-3.384121600783323</v>
      </c>
    </row>
    <row r="660" spans="1:34" x14ac:dyDescent="0.2">
      <c r="A660" s="347">
        <f t="shared" ca="1" si="296"/>
        <v>0.1</v>
      </c>
      <c r="B660" s="304">
        <f t="shared" ca="1" si="297"/>
        <v>29.600000000000108</v>
      </c>
      <c r="D660" s="306">
        <f t="shared" ca="1" si="298"/>
        <v>-0.42848136446942242</v>
      </c>
      <c r="E660" s="307">
        <f t="shared" ca="1" si="299"/>
        <v>-6.4024884421033565</v>
      </c>
      <c r="F660" s="304">
        <f t="shared" ca="1" si="300"/>
        <v>6.4168103081643801</v>
      </c>
      <c r="G660" s="306">
        <f t="shared" ca="1" si="301"/>
        <v>11.462671103271376</v>
      </c>
      <c r="H660" s="307">
        <f t="shared" ca="1" si="302"/>
        <v>-92.138253284821658</v>
      </c>
      <c r="I660" s="304">
        <f t="shared" ca="1" si="303"/>
        <v>92.848535514566521</v>
      </c>
      <c r="J660" s="306">
        <f t="shared" ca="1" si="304"/>
        <v>464.75926048253621</v>
      </c>
      <c r="K660" s="307">
        <f t="shared" ca="1" si="305"/>
        <v>1395.6560038858945</v>
      </c>
      <c r="L660" s="304">
        <f t="shared" ca="1" si="290"/>
        <v>1471.005387953089</v>
      </c>
      <c r="M660" s="306">
        <f t="shared" ca="1" si="306"/>
        <v>-1.4470249585880754</v>
      </c>
      <c r="N660" s="304">
        <f t="shared" ca="1" si="307"/>
        <v>-82.908422977189446</v>
      </c>
      <c r="P660" s="310">
        <f t="shared" ca="1" si="308"/>
        <v>23</v>
      </c>
      <c r="Q660" s="304">
        <f t="shared" ca="1" si="309"/>
        <v>0</v>
      </c>
      <c r="R660" s="306">
        <f t="shared" ca="1" si="310"/>
        <v>0</v>
      </c>
      <c r="S660" s="307">
        <f t="shared" ca="1" si="311"/>
        <v>6.1519999999999921</v>
      </c>
      <c r="T660" s="304">
        <f t="shared" ca="1" si="291"/>
        <v>60.351119999999923</v>
      </c>
      <c r="U660" s="311">
        <f t="shared" ca="1" si="292"/>
        <v>0</v>
      </c>
      <c r="V660" s="306">
        <f t="shared" ca="1" si="293"/>
        <v>1.0651845118046666</v>
      </c>
      <c r="W660" s="304">
        <f t="shared" ca="1" si="294"/>
        <v>21.437521512517915</v>
      </c>
      <c r="Y660" s="314" t="str">
        <f t="shared" ca="1" si="312"/>
        <v/>
      </c>
      <c r="Z660" s="315" t="str">
        <f t="shared" ca="1" si="313"/>
        <v/>
      </c>
      <c r="AA660" s="316" t="str">
        <f t="shared" ca="1" si="314"/>
        <v/>
      </c>
      <c r="AC660" s="310" t="e">
        <f t="shared" ca="1" si="315"/>
        <v>#N/A</v>
      </c>
      <c r="AD660" s="323" t="e">
        <f t="shared" ca="1" si="316"/>
        <v>#N/A</v>
      </c>
      <c r="AE660" s="324" t="e">
        <f t="shared" ca="1" si="295"/>
        <v>#N/A</v>
      </c>
      <c r="AG660" s="306">
        <f t="shared" ca="1" si="317"/>
        <v>6.2990036942811658</v>
      </c>
      <c r="AH660" s="304">
        <f t="shared" ca="1" si="318"/>
        <v>-3.4343458324543841</v>
      </c>
    </row>
    <row r="661" spans="1:34" x14ac:dyDescent="0.2">
      <c r="A661" s="347">
        <f t="shared" ca="1" si="296"/>
        <v>0.1</v>
      </c>
      <c r="B661" s="304">
        <f t="shared" ca="1" si="297"/>
        <v>29.700000000000109</v>
      </c>
      <c r="D661" s="306">
        <f t="shared" ca="1" si="298"/>
        <v>-0.43019862679646614</v>
      </c>
      <c r="E661" s="307">
        <f t="shared" ca="1" si="299"/>
        <v>-6.3520145373234271</v>
      </c>
      <c r="F661" s="304">
        <f t="shared" ca="1" si="300"/>
        <v>6.3665657572089618</v>
      </c>
      <c r="G661" s="306">
        <f t="shared" ca="1" si="301"/>
        <v>11.41965124059173</v>
      </c>
      <c r="H661" s="307">
        <f t="shared" ca="1" si="302"/>
        <v>-92.773454738553994</v>
      </c>
      <c r="I661" s="304">
        <f t="shared" ca="1" si="303"/>
        <v>93.473645155109224</v>
      </c>
      <c r="J661" s="306">
        <f t="shared" ca="1" si="304"/>
        <v>465.90337659972937</v>
      </c>
      <c r="K661" s="307">
        <f t="shared" ca="1" si="305"/>
        <v>1386.4104184847258</v>
      </c>
      <c r="L661" s="304">
        <f t="shared" ca="1" si="290"/>
        <v>1462.6003571755414</v>
      </c>
      <c r="M661" s="306">
        <f t="shared" ca="1" si="306"/>
        <v>-1.4483206176092973</v>
      </c>
      <c r="N661" s="304">
        <f t="shared" ca="1" si="307"/>
        <v>-82.98265877079352</v>
      </c>
      <c r="P661" s="310">
        <f t="shared" ca="1" si="308"/>
        <v>23</v>
      </c>
      <c r="Q661" s="304">
        <f t="shared" ca="1" si="309"/>
        <v>0</v>
      </c>
      <c r="R661" s="306">
        <f t="shared" ca="1" si="310"/>
        <v>0</v>
      </c>
      <c r="S661" s="307">
        <f t="shared" ca="1" si="311"/>
        <v>6.1519999999999921</v>
      </c>
      <c r="T661" s="304">
        <f t="shared" ca="1" si="291"/>
        <v>60.351119999999923</v>
      </c>
      <c r="U661" s="311">
        <f t="shared" ca="1" si="292"/>
        <v>0</v>
      </c>
      <c r="V661" s="306">
        <f t="shared" ca="1" si="293"/>
        <v>1.0661745842887342</v>
      </c>
      <c r="W661" s="304">
        <f t="shared" ca="1" si="294"/>
        <v>21.747347676272021</v>
      </c>
      <c r="Y661" s="314" t="str">
        <f t="shared" ca="1" si="312"/>
        <v/>
      </c>
      <c r="Z661" s="315" t="str">
        <f t="shared" ca="1" si="313"/>
        <v/>
      </c>
      <c r="AA661" s="316" t="str">
        <f t="shared" ca="1" si="314"/>
        <v/>
      </c>
      <c r="AC661" s="310" t="e">
        <f t="shared" ca="1" si="315"/>
        <v>#N/A</v>
      </c>
      <c r="AD661" s="323" t="e">
        <f t="shared" ca="1" si="316"/>
        <v>#N/A</v>
      </c>
      <c r="AE661" s="324" t="e">
        <f t="shared" ca="1" si="295"/>
        <v>#N/A</v>
      </c>
      <c r="AG661" s="306">
        <f t="shared" ca="1" si="317"/>
        <v>6.2503118194005642</v>
      </c>
      <c r="AH661" s="304">
        <f t="shared" ca="1" si="318"/>
        <v>-3.4846426385757381</v>
      </c>
    </row>
    <row r="662" spans="1:34" x14ac:dyDescent="0.2">
      <c r="A662" s="347">
        <f t="shared" ca="1" si="296"/>
        <v>0.1</v>
      </c>
      <c r="B662" s="304">
        <f t="shared" ca="1" si="297"/>
        <v>29.800000000000111</v>
      </c>
      <c r="D662" s="306">
        <f t="shared" ca="1" si="298"/>
        <v>-0.43187059242838138</v>
      </c>
      <c r="E662" s="307">
        <f t="shared" ca="1" si="299"/>
        <v>-6.3014754386587688</v>
      </c>
      <c r="F662" s="304">
        <f t="shared" ca="1" si="300"/>
        <v>6.3162571917730013</v>
      </c>
      <c r="G662" s="306">
        <f t="shared" ca="1" si="301"/>
        <v>11.376464181348892</v>
      </c>
      <c r="H662" s="307">
        <f t="shared" ca="1" si="302"/>
        <v>-93.403602282419868</v>
      </c>
      <c r="I662" s="304">
        <f t="shared" ca="1" si="303"/>
        <v>94.093872577346843</v>
      </c>
      <c r="J662" s="306">
        <f t="shared" ca="1" si="304"/>
        <v>467.0431823708264</v>
      </c>
      <c r="K662" s="307">
        <f t="shared" ca="1" si="305"/>
        <v>1377.1015656336772</v>
      </c>
      <c r="L662" s="304">
        <f t="shared" ca="1" si="290"/>
        <v>1454.1451290259147</v>
      </c>
      <c r="M662" s="306">
        <f t="shared" ca="1" si="306"/>
        <v>-1.4495943302047138</v>
      </c>
      <c r="N662" s="304">
        <f t="shared" ca="1" si="307"/>
        <v>-83.055637126823541</v>
      </c>
      <c r="P662" s="310">
        <f t="shared" ca="1" si="308"/>
        <v>23</v>
      </c>
      <c r="Q662" s="304">
        <f t="shared" ca="1" si="309"/>
        <v>0</v>
      </c>
      <c r="R662" s="306">
        <f t="shared" ca="1" si="310"/>
        <v>0</v>
      </c>
      <c r="S662" s="307">
        <f t="shared" ca="1" si="311"/>
        <v>6.1519999999999921</v>
      </c>
      <c r="T662" s="304">
        <f t="shared" ca="1" si="291"/>
        <v>60.351119999999923</v>
      </c>
      <c r="U662" s="311">
        <f t="shared" ca="1" si="292"/>
        <v>0</v>
      </c>
      <c r="V662" s="306">
        <f t="shared" ca="1" si="293"/>
        <v>1.0671722970514175</v>
      </c>
      <c r="W662" s="304">
        <f t="shared" ca="1" si="294"/>
        <v>22.057528180143294</v>
      </c>
      <c r="Y662" s="314" t="str">
        <f t="shared" ca="1" si="312"/>
        <v/>
      </c>
      <c r="Z662" s="315" t="str">
        <f t="shared" ca="1" si="313"/>
        <v/>
      </c>
      <c r="AA662" s="316" t="str">
        <f t="shared" ca="1" si="314"/>
        <v/>
      </c>
      <c r="AC662" s="310" t="e">
        <f t="shared" ca="1" si="315"/>
        <v>#N/A</v>
      </c>
      <c r="AD662" s="323" t="e">
        <f t="shared" ca="1" si="316"/>
        <v>#N/A</v>
      </c>
      <c r="AE662" s="324" t="e">
        <f t="shared" ca="1" si="295"/>
        <v>#N/A</v>
      </c>
      <c r="AG662" s="306">
        <f t="shared" ca="1" si="317"/>
        <v>6.2015109594368276</v>
      </c>
      <c r="AH662" s="304">
        <f t="shared" ca="1" si="318"/>
        <v>-3.5350044987438309</v>
      </c>
    </row>
    <row r="663" spans="1:34" x14ac:dyDescent="0.2">
      <c r="A663" s="347">
        <f t="shared" ca="1" si="296"/>
        <v>0.1</v>
      </c>
      <c r="B663" s="304">
        <f t="shared" ca="1" si="297"/>
        <v>29.900000000000112</v>
      </c>
      <c r="D663" s="306">
        <f t="shared" ca="1" si="298"/>
        <v>-0.43349737977986158</v>
      </c>
      <c r="E663" s="307">
        <f t="shared" ca="1" si="299"/>
        <v>-6.250878623974323</v>
      </c>
      <c r="F663" s="304">
        <f t="shared" ca="1" si="300"/>
        <v>6.2658920793399506</v>
      </c>
      <c r="G663" s="306">
        <f t="shared" ca="1" si="301"/>
        <v>11.333114443370906</v>
      </c>
      <c r="H663" s="307">
        <f t="shared" ca="1" si="302"/>
        <v>-94.028690144817304</v>
      </c>
      <c r="I663" s="304">
        <f t="shared" ca="1" si="303"/>
        <v>94.709207859302694</v>
      </c>
      <c r="J663" s="306">
        <f t="shared" ca="1" si="304"/>
        <v>468.17866130206238</v>
      </c>
      <c r="K663" s="307">
        <f t="shared" ca="1" si="305"/>
        <v>1367.7299510123153</v>
      </c>
      <c r="L663" s="304">
        <f t="shared" ca="1" si="290"/>
        <v>1445.6405078008645</v>
      </c>
      <c r="M663" s="306">
        <f t="shared" ca="1" si="306"/>
        <v>-1.4508466720077107</v>
      </c>
      <c r="N663" s="304">
        <f t="shared" ca="1" si="307"/>
        <v>-83.127391026643053</v>
      </c>
      <c r="P663" s="310">
        <f t="shared" ca="1" si="308"/>
        <v>23</v>
      </c>
      <c r="Q663" s="304">
        <f t="shared" ca="1" si="309"/>
        <v>0</v>
      </c>
      <c r="R663" s="306">
        <f t="shared" ca="1" si="310"/>
        <v>0</v>
      </c>
      <c r="S663" s="307">
        <f t="shared" ca="1" si="311"/>
        <v>6.1519999999999921</v>
      </c>
      <c r="T663" s="304">
        <f t="shared" ca="1" si="291"/>
        <v>60.351119999999923</v>
      </c>
      <c r="U663" s="311">
        <f t="shared" ca="1" si="292"/>
        <v>0</v>
      </c>
      <c r="V663" s="306">
        <f t="shared" ca="1" si="293"/>
        <v>1.0681776146711635</v>
      </c>
      <c r="W663" s="304">
        <f t="shared" ca="1" si="294"/>
        <v>22.368017554805053</v>
      </c>
      <c r="Y663" s="314" t="str">
        <f t="shared" ca="1" si="312"/>
        <v/>
      </c>
      <c r="Z663" s="315" t="str">
        <f t="shared" ca="1" si="313"/>
        <v/>
      </c>
      <c r="AA663" s="316" t="str">
        <f t="shared" ca="1" si="314"/>
        <v/>
      </c>
      <c r="AC663" s="310" t="e">
        <f t="shared" ca="1" si="315"/>
        <v>#N/A</v>
      </c>
      <c r="AD663" s="323" t="e">
        <f t="shared" ca="1" si="316"/>
        <v>#N/A</v>
      </c>
      <c r="AE663" s="324" t="e">
        <f t="shared" ca="1" si="295"/>
        <v>#N/A</v>
      </c>
      <c r="AG663" s="306">
        <f t="shared" ca="1" si="317"/>
        <v>6.1526101289934525</v>
      </c>
      <c r="AH663" s="304">
        <f t="shared" ca="1" si="318"/>
        <v>-3.5854239564602279</v>
      </c>
    </row>
    <row r="664" spans="1:34" x14ac:dyDescent="0.2">
      <c r="A664" s="347">
        <f t="shared" ca="1" si="296"/>
        <v>0.1</v>
      </c>
      <c r="B664" s="304">
        <f t="shared" ca="1" si="297"/>
        <v>30.000000000000114</v>
      </c>
      <c r="D664" s="306">
        <f t="shared" ca="1" si="298"/>
        <v>-0.43507911679513073</v>
      </c>
      <c r="E664" s="307">
        <f t="shared" ca="1" si="299"/>
        <v>-6.2002315055558634</v>
      </c>
      <c r="F664" s="304">
        <f t="shared" ca="1" si="300"/>
        <v>6.215477822368829</v>
      </c>
      <c r="G664" s="306">
        <f t="shared" ca="1" si="301"/>
        <v>11.289606531691394</v>
      </c>
      <c r="H664" s="307">
        <f t="shared" ca="1" si="302"/>
        <v>-94.648713295372886</v>
      </c>
      <c r="I664" s="304">
        <f t="shared" ca="1" si="303"/>
        <v>95.319641963816181</v>
      </c>
      <c r="J664" s="306">
        <f t="shared" ca="1" si="304"/>
        <v>469.30979735081547</v>
      </c>
      <c r="K664" s="307">
        <f t="shared" ca="1" si="305"/>
        <v>1358.2960808403056</v>
      </c>
      <c r="L664" s="304">
        <f t="shared" ca="1" si="290"/>
        <v>1437.0873074088427</v>
      </c>
      <c r="M664" s="306">
        <f t="shared" ca="1" si="306"/>
        <v>-1.4520781985742632</v>
      </c>
      <c r="N664" s="304">
        <f t="shared" ca="1" si="307"/>
        <v>-83.197952301264763</v>
      </c>
      <c r="P664" s="310">
        <f t="shared" ca="1" si="308"/>
        <v>23</v>
      </c>
      <c r="Q664" s="304">
        <f t="shared" ca="1" si="309"/>
        <v>0</v>
      </c>
      <c r="R664" s="306">
        <f t="shared" ca="1" si="310"/>
        <v>0</v>
      </c>
      <c r="S664" s="307">
        <f t="shared" ca="1" si="311"/>
        <v>6.1519999999999921</v>
      </c>
      <c r="T664" s="304">
        <f t="shared" ca="1" si="291"/>
        <v>60.351119999999923</v>
      </c>
      <c r="U664" s="311">
        <f t="shared" ca="1" si="292"/>
        <v>0</v>
      </c>
      <c r="V664" s="306">
        <f t="shared" ca="1" si="293"/>
        <v>1.0691905016456811</v>
      </c>
      <c r="W664" s="304">
        <f t="shared" ca="1" si="294"/>
        <v>22.678770743583382</v>
      </c>
      <c r="Y664" s="314" t="str">
        <f t="shared" ca="1" si="312"/>
        <v/>
      </c>
      <c r="Z664" s="315" t="str">
        <f t="shared" ca="1" si="313"/>
        <v/>
      </c>
      <c r="AA664" s="316" t="str">
        <f t="shared" ca="1" si="314"/>
        <v/>
      </c>
      <c r="AC664" s="310">
        <f t="shared" ca="1" si="315"/>
        <v>30.000000000000114</v>
      </c>
      <c r="AD664" s="323">
        <f t="shared" ca="1" si="316"/>
        <v>469.30979735081547</v>
      </c>
      <c r="AE664" s="324" t="e">
        <f t="shared" ca="1" si="295"/>
        <v>#N/A</v>
      </c>
      <c r="AG664" s="306">
        <f t="shared" ca="1" si="317"/>
        <v>6.1036182088889275</v>
      </c>
      <c r="AH664" s="304">
        <f t="shared" ca="1" si="318"/>
        <v>-3.6358936207420482</v>
      </c>
    </row>
    <row r="665" spans="1:34" x14ac:dyDescent="0.2">
      <c r="A665" s="347">
        <f t="shared" ca="1" si="296"/>
        <v>0.1</v>
      </c>
      <c r="B665" s="304">
        <f t="shared" ca="1" si="297"/>
        <v>30.100000000000115</v>
      </c>
      <c r="D665" s="306">
        <f t="shared" ca="1" si="298"/>
        <v>-0.43661594076208821</v>
      </c>
      <c r="E665" s="307">
        <f t="shared" ca="1" si="299"/>
        <v>-6.1495414285364713</v>
      </c>
      <c r="F665" s="304">
        <f t="shared" ca="1" si="300"/>
        <v>6.1650217567348413</v>
      </c>
      <c r="G665" s="306">
        <f t="shared" ca="1" si="301"/>
        <v>11.245944937615185</v>
      </c>
      <c r="H665" s="307">
        <f t="shared" ca="1" si="302"/>
        <v>-95.263667438226534</v>
      </c>
      <c r="I665" s="304">
        <f t="shared" ca="1" si="303"/>
        <v>95.925166725530872</v>
      </c>
      <c r="J665" s="306">
        <f t="shared" ca="1" si="304"/>
        <v>470.43657492428082</v>
      </c>
      <c r="K665" s="307">
        <f t="shared" ca="1" si="305"/>
        <v>1348.8004618036257</v>
      </c>
      <c r="L665" s="304">
        <f t="shared" ca="1" si="290"/>
        <v>1428.486351628241</v>
      </c>
      <c r="M665" s="306">
        <f t="shared" ca="1" si="306"/>
        <v>-1.4532894462439216</v>
      </c>
      <c r="N665" s="304">
        <f t="shared" ca="1" si="307"/>
        <v>-83.267351680681244</v>
      </c>
      <c r="P665" s="310">
        <f t="shared" ca="1" si="308"/>
        <v>23</v>
      </c>
      <c r="Q665" s="304">
        <f t="shared" ca="1" si="309"/>
        <v>0</v>
      </c>
      <c r="R665" s="306">
        <f t="shared" ca="1" si="310"/>
        <v>0</v>
      </c>
      <c r="S665" s="307">
        <f t="shared" ca="1" si="311"/>
        <v>6.1519999999999921</v>
      </c>
      <c r="T665" s="304">
        <f t="shared" ca="1" si="291"/>
        <v>60.351119999999923</v>
      </c>
      <c r="U665" s="311">
        <f t="shared" ca="1" si="292"/>
        <v>0</v>
      </c>
      <c r="V665" s="306">
        <f t="shared" ca="1" si="293"/>
        <v>1.0702109223967284</v>
      </c>
      <c r="W665" s="304">
        <f t="shared" ca="1" si="294"/>
        <v>22.989743111750702</v>
      </c>
      <c r="Y665" s="314" t="str">
        <f t="shared" ca="1" si="312"/>
        <v/>
      </c>
      <c r="Z665" s="315" t="str">
        <f t="shared" ca="1" si="313"/>
        <v/>
      </c>
      <c r="AA665" s="316" t="str">
        <f t="shared" ca="1" si="314"/>
        <v/>
      </c>
      <c r="AC665" s="310" t="e">
        <f t="shared" ca="1" si="315"/>
        <v>#N/A</v>
      </c>
      <c r="AD665" s="323" t="e">
        <f t="shared" ca="1" si="316"/>
        <v>#N/A</v>
      </c>
      <c r="AE665" s="324" t="e">
        <f t="shared" ca="1" si="295"/>
        <v>#N/A</v>
      </c>
      <c r="AG665" s="306">
        <f t="shared" ca="1" si="317"/>
        <v>6.0545439481400347</v>
      </c>
      <c r="AH665" s="304">
        <f t="shared" ca="1" si="318"/>
        <v>-3.686406167682609</v>
      </c>
    </row>
    <row r="666" spans="1:34" x14ac:dyDescent="0.2">
      <c r="A666" s="347">
        <f t="shared" ca="1" si="296"/>
        <v>0.1</v>
      </c>
      <c r="B666" s="304">
        <f t="shared" ca="1" si="297"/>
        <v>30.200000000000117</v>
      </c>
      <c r="D666" s="306">
        <f t="shared" ca="1" si="298"/>
        <v>-0.43810799812665097</v>
      </c>
      <c r="E666" s="307">
        <f t="shared" ca="1" si="299"/>
        <v>-6.0988156693736268</v>
      </c>
      <c r="F666" s="304">
        <f t="shared" ca="1" si="300"/>
        <v>6.1145311502207447</v>
      </c>
      <c r="G666" s="306">
        <f t="shared" ca="1" si="301"/>
        <v>11.202134137802521</v>
      </c>
      <c r="H666" s="307">
        <f t="shared" ca="1" si="302"/>
        <v>-95.873549005163895</v>
      </c>
      <c r="I666" s="304">
        <f t="shared" ca="1" si="303"/>
        <v>96.525774838054943</v>
      </c>
      <c r="J666" s="306">
        <f t="shared" ca="1" si="304"/>
        <v>471.55897887805173</v>
      </c>
      <c r="K666" s="307">
        <f t="shared" ca="1" si="305"/>
        <v>1339.2436009814562</v>
      </c>
      <c r="L666" s="304">
        <f t="shared" ca="1" si="290"/>
        <v>1419.8384743801982</v>
      </c>
      <c r="M666" s="306">
        <f t="shared" ca="1" si="306"/>
        <v>-1.454480932957146</v>
      </c>
      <c r="N666" s="304">
        <f t="shared" ca="1" si="307"/>
        <v>-83.335618840694906</v>
      </c>
      <c r="P666" s="310">
        <f t="shared" ca="1" si="308"/>
        <v>23</v>
      </c>
      <c r="Q666" s="304">
        <f t="shared" ca="1" si="309"/>
        <v>0</v>
      </c>
      <c r="R666" s="306">
        <f t="shared" ca="1" si="310"/>
        <v>0</v>
      </c>
      <c r="S666" s="307">
        <f t="shared" ca="1" si="311"/>
        <v>6.1519999999999921</v>
      </c>
      <c r="T666" s="304">
        <f t="shared" ca="1" si="291"/>
        <v>60.351119999999923</v>
      </c>
      <c r="U666" s="311">
        <f t="shared" ca="1" si="292"/>
        <v>0</v>
      </c>
      <c r="V666" s="306">
        <f t="shared" ca="1" si="293"/>
        <v>1.0712388412748775</v>
      </c>
      <c r="W666" s="304">
        <f t="shared" ca="1" si="294"/>
        <v>23.300890455511851</v>
      </c>
      <c r="Y666" s="314" t="str">
        <f t="shared" ca="1" si="312"/>
        <v/>
      </c>
      <c r="Z666" s="315" t="str">
        <f t="shared" ca="1" si="313"/>
        <v/>
      </c>
      <c r="AA666" s="316" t="str">
        <f t="shared" ca="1" si="314"/>
        <v/>
      </c>
      <c r="AC666" s="310" t="e">
        <f t="shared" ca="1" si="315"/>
        <v>#N/A</v>
      </c>
      <c r="AD666" s="323" t="e">
        <f t="shared" ca="1" si="316"/>
        <v>#N/A</v>
      </c>
      <c r="AE666" s="324" t="e">
        <f t="shared" ca="1" si="295"/>
        <v>#N/A</v>
      </c>
      <c r="AG666" s="306">
        <f t="shared" ca="1" si="317"/>
        <v>6.0053959657832952</v>
      </c>
      <c r="AH666" s="304">
        <f t="shared" ca="1" si="318"/>
        <v>-3.7369543419620825</v>
      </c>
    </row>
    <row r="667" spans="1:34" x14ac:dyDescent="0.2">
      <c r="A667" s="347">
        <f t="shared" ca="1" si="296"/>
        <v>0.1</v>
      </c>
      <c r="B667" s="304">
        <f t="shared" ca="1" si="297"/>
        <v>30.300000000000118</v>
      </c>
      <c r="D667" s="306">
        <f t="shared" ca="1" si="298"/>
        <v>-0.43955544430730248</v>
      </c>
      <c r="E667" s="307">
        <f t="shared" ca="1" si="299"/>
        <v>-6.0480614343768675</v>
      </c>
      <c r="F667" s="304">
        <f t="shared" ca="1" si="300"/>
        <v>6.0640132010589296</v>
      </c>
      <c r="G667" s="306">
        <f t="shared" ca="1" si="301"/>
        <v>11.15817859337179</v>
      </c>
      <c r="H667" s="307">
        <f t="shared" ca="1" si="302"/>
        <v>-96.47835514860158</v>
      </c>
      <c r="I667" s="304">
        <f t="shared" ca="1" si="303"/>
        <v>97.12145984127956</v>
      </c>
      <c r="J667" s="306">
        <f t="shared" ca="1" si="304"/>
        <v>472.67699451461044</v>
      </c>
      <c r="K667" s="307">
        <f t="shared" ca="1" si="305"/>
        <v>1329.6260057737679</v>
      </c>
      <c r="L667" s="304">
        <f t="shared" ca="1" si="290"/>
        <v>1411.1445200167377</v>
      </c>
      <c r="M667" s="306">
        <f t="shared" ca="1" si="306"/>
        <v>-1.4556531590315365</v>
      </c>
      <c r="N667" s="304">
        <f t="shared" ca="1" si="307"/>
        <v>-83.402782447392667</v>
      </c>
      <c r="P667" s="310">
        <f t="shared" ca="1" si="308"/>
        <v>23</v>
      </c>
      <c r="Q667" s="304">
        <f t="shared" ca="1" si="309"/>
        <v>0</v>
      </c>
      <c r="R667" s="306">
        <f t="shared" ca="1" si="310"/>
        <v>0</v>
      </c>
      <c r="S667" s="307">
        <f t="shared" ca="1" si="311"/>
        <v>6.1519999999999921</v>
      </c>
      <c r="T667" s="304">
        <f t="shared" ca="1" si="291"/>
        <v>60.351119999999923</v>
      </c>
      <c r="U667" s="311">
        <f t="shared" ca="1" si="292"/>
        <v>0</v>
      </c>
      <c r="V667" s="306">
        <f t="shared" ca="1" si="293"/>
        <v>1.0722742225642437</v>
      </c>
      <c r="W667" s="304">
        <f t="shared" ca="1" si="294"/>
        <v>23.612169010681697</v>
      </c>
      <c r="Y667" s="314" t="str">
        <f t="shared" ca="1" si="312"/>
        <v/>
      </c>
      <c r="Z667" s="315" t="str">
        <f t="shared" ca="1" si="313"/>
        <v/>
      </c>
      <c r="AA667" s="316" t="str">
        <f t="shared" ca="1" si="314"/>
        <v/>
      </c>
      <c r="AC667" s="310" t="e">
        <f t="shared" ca="1" si="315"/>
        <v>#N/A</v>
      </c>
      <c r="AD667" s="323" t="e">
        <f t="shared" ca="1" si="316"/>
        <v>#N/A</v>
      </c>
      <c r="AE667" s="324" t="e">
        <f t="shared" ca="1" si="295"/>
        <v>#N/A</v>
      </c>
      <c r="AG667" s="306">
        <f t="shared" ca="1" si="317"/>
        <v>5.9561827525488908</v>
      </c>
      <c r="AH667" s="304">
        <f t="shared" ca="1" si="318"/>
        <v>-3.7875309583081731</v>
      </c>
    </row>
    <row r="668" spans="1:34" x14ac:dyDescent="0.2">
      <c r="A668" s="347">
        <f t="shared" ca="1" si="296"/>
        <v>0.1</v>
      </c>
      <c r="B668" s="304">
        <f t="shared" ca="1" si="297"/>
        <v>30.400000000000119</v>
      </c>
      <c r="D668" s="306">
        <f t="shared" ca="1" si="298"/>
        <v>-0.44095844350984492</v>
      </c>
      <c r="E668" s="307">
        <f t="shared" ca="1" si="299"/>
        <v>-5.9972858582861477</v>
      </c>
      <c r="F668" s="304">
        <f t="shared" ca="1" si="300"/>
        <v>6.0134750365243592</v>
      </c>
      <c r="G668" s="306">
        <f t="shared" ca="1" si="301"/>
        <v>11.114082749020806</v>
      </c>
      <c r="H668" s="307">
        <f t="shared" ca="1" si="302"/>
        <v>-97.078083734430194</v>
      </c>
      <c r="I668" s="304">
        <f t="shared" ca="1" si="303"/>
        <v>97.712216108842398</v>
      </c>
      <c r="J668" s="306">
        <f t="shared" ca="1" si="304"/>
        <v>473.79060758173006</v>
      </c>
      <c r="K668" s="307">
        <f t="shared" ca="1" si="305"/>
        <v>1319.9481838296163</v>
      </c>
      <c r="L668" s="304">
        <f t="shared" ca="1" si="290"/>
        <v>1402.4053436249333</v>
      </c>
      <c r="M668" s="306">
        <f t="shared" ca="1" si="306"/>
        <v>-1.4568066078993358</v>
      </c>
      <c r="N668" s="304">
        <f t="shared" ca="1" si="307"/>
        <v>-83.468870199401721</v>
      </c>
      <c r="P668" s="310">
        <f t="shared" ca="1" si="308"/>
        <v>23</v>
      </c>
      <c r="Q668" s="304">
        <f t="shared" ca="1" si="309"/>
        <v>0</v>
      </c>
      <c r="R668" s="306">
        <f t="shared" ca="1" si="310"/>
        <v>0</v>
      </c>
      <c r="S668" s="307">
        <f t="shared" ca="1" si="311"/>
        <v>6.1519999999999921</v>
      </c>
      <c r="T668" s="304">
        <f t="shared" ca="1" si="291"/>
        <v>60.351119999999923</v>
      </c>
      <c r="U668" s="311">
        <f t="shared" ca="1" si="292"/>
        <v>0</v>
      </c>
      <c r="V668" s="306">
        <f t="shared" ca="1" si="293"/>
        <v>1.073317030487188</v>
      </c>
      <c r="W668" s="304">
        <f t="shared" ca="1" si="294"/>
        <v>23.923535461054488</v>
      </c>
      <c r="Y668" s="314" t="str">
        <f t="shared" ca="1" si="312"/>
        <v/>
      </c>
      <c r="Z668" s="315" t="str">
        <f t="shared" ca="1" si="313"/>
        <v/>
      </c>
      <c r="AA668" s="316" t="str">
        <f t="shared" ca="1" si="314"/>
        <v/>
      </c>
      <c r="AC668" s="310" t="e">
        <f t="shared" ca="1" si="315"/>
        <v>#N/A</v>
      </c>
      <c r="AD668" s="323" t="e">
        <f t="shared" ca="1" si="316"/>
        <v>#N/A</v>
      </c>
      <c r="AE668" s="324" t="e">
        <f t="shared" ca="1" si="295"/>
        <v>#N/A</v>
      </c>
      <c r="AG668" s="306">
        <f t="shared" ca="1" si="317"/>
        <v>5.90691267240038</v>
      </c>
      <c r="AH668" s="304">
        <f t="shared" ca="1" si="318"/>
        <v>-3.8381289029066528</v>
      </c>
    </row>
    <row r="669" spans="1:34" x14ac:dyDescent="0.2">
      <c r="A669" s="347">
        <f t="shared" ca="1" si="296"/>
        <v>0.1</v>
      </c>
      <c r="B669" s="304">
        <f t="shared" ca="1" si="297"/>
        <v>30.500000000000121</v>
      </c>
      <c r="D669" s="306">
        <f t="shared" ca="1" si="298"/>
        <v>-0.44231716854237246</v>
      </c>
      <c r="E669" s="307">
        <f t="shared" ca="1" si="299"/>
        <v>-5.9464960029008571</v>
      </c>
      <c r="F669" s="304">
        <f t="shared" ca="1" si="300"/>
        <v>5.9629237115783402</v>
      </c>
      <c r="G669" s="306">
        <f t="shared" ca="1" si="301"/>
        <v>11.069851032166568</v>
      </c>
      <c r="H669" s="307">
        <f t="shared" ca="1" si="302"/>
        <v>-97.672733334720277</v>
      </c>
      <c r="I669" s="304">
        <f t="shared" ca="1" si="303"/>
        <v>98.298038835725194</v>
      </c>
      <c r="J669" s="306">
        <f t="shared" ca="1" si="304"/>
        <v>474.89980427078945</v>
      </c>
      <c r="K669" s="307">
        <f t="shared" ca="1" si="305"/>
        <v>1310.2106429761586</v>
      </c>
      <c r="L669" s="304">
        <f t="shared" ca="1" si="290"/>
        <v>1393.6218113478394</v>
      </c>
      <c r="M669" s="306">
        <f t="shared" ca="1" si="306"/>
        <v>-1.4579417468084281</v>
      </c>
      <c r="N669" s="304">
        <f t="shared" ca="1" si="307"/>
        <v>-83.533908868053786</v>
      </c>
      <c r="P669" s="310">
        <f t="shared" ca="1" si="308"/>
        <v>23</v>
      </c>
      <c r="Q669" s="304">
        <f t="shared" ca="1" si="309"/>
        <v>0</v>
      </c>
      <c r="R669" s="306">
        <f t="shared" ca="1" si="310"/>
        <v>0</v>
      </c>
      <c r="S669" s="307">
        <f t="shared" ca="1" si="311"/>
        <v>6.1519999999999921</v>
      </c>
      <c r="T669" s="304">
        <f t="shared" ca="1" si="291"/>
        <v>60.351119999999923</v>
      </c>
      <c r="U669" s="311">
        <f t="shared" ca="1" si="292"/>
        <v>0</v>
      </c>
      <c r="V669" s="306">
        <f t="shared" ca="1" si="293"/>
        <v>1.0743672292089892</v>
      </c>
      <c r="W669" s="304">
        <f t="shared" ca="1" si="294"/>
        <v>24.234946946465232</v>
      </c>
      <c r="Y669" s="314" t="str">
        <f t="shared" ca="1" si="312"/>
        <v/>
      </c>
      <c r="Z669" s="315" t="str">
        <f t="shared" ca="1" si="313"/>
        <v/>
      </c>
      <c r="AA669" s="316" t="str">
        <f t="shared" ca="1" si="314"/>
        <v/>
      </c>
      <c r="AC669" s="310" t="e">
        <f t="shared" ca="1" si="315"/>
        <v>#N/A</v>
      </c>
      <c r="AD669" s="323" t="e">
        <f t="shared" ca="1" si="316"/>
        <v>#N/A</v>
      </c>
      <c r="AE669" s="324" t="e">
        <f t="shared" ca="1" si="295"/>
        <v>#N/A</v>
      </c>
      <c r="AG669" s="306">
        <f t="shared" ca="1" si="317"/>
        <v>5.8575939639524366</v>
      </c>
      <c r="AH669" s="304">
        <f t="shared" ca="1" si="318"/>
        <v>-3.888741134761788</v>
      </c>
    </row>
    <row r="670" spans="1:34" x14ac:dyDescent="0.2">
      <c r="A670" s="347">
        <f t="shared" ca="1" si="296"/>
        <v>0.1</v>
      </c>
      <c r="B670" s="304">
        <f t="shared" ca="1" si="297"/>
        <v>30.600000000000122</v>
      </c>
      <c r="D670" s="306">
        <f t="shared" ca="1" si="298"/>
        <v>-0.44363180063047997</v>
      </c>
      <c r="E670" s="307">
        <f t="shared" ca="1" si="299"/>
        <v>-5.8956988557593952</v>
      </c>
      <c r="F670" s="304">
        <f t="shared" ca="1" si="300"/>
        <v>5.912366207563033</v>
      </c>
      <c r="G670" s="306">
        <f t="shared" ca="1" si="301"/>
        <v>11.02548785210352</v>
      </c>
      <c r="H670" s="307">
        <f t="shared" ca="1" si="302"/>
        <v>-98.262303220296218</v>
      </c>
      <c r="I670" s="304">
        <f t="shared" ca="1" si="303"/>
        <v>98.878924025973902</v>
      </c>
      <c r="J670" s="306">
        <f t="shared" ca="1" si="304"/>
        <v>476.00457121500295</v>
      </c>
      <c r="K670" s="307">
        <f t="shared" ca="1" si="305"/>
        <v>1300.4138911484079</v>
      </c>
      <c r="L670" s="304">
        <f t="shared" ca="1" si="290"/>
        <v>1384.7948007229527</v>
      </c>
      <c r="M670" s="306">
        <f t="shared" ca="1" si="306"/>
        <v>-1.4590590274889117</v>
      </c>
      <c r="N670" s="304">
        <f t="shared" ca="1" si="307"/>
        <v>-83.597924335577005</v>
      </c>
      <c r="P670" s="310">
        <f t="shared" ca="1" si="308"/>
        <v>23</v>
      </c>
      <c r="Q670" s="304">
        <f t="shared" ca="1" si="309"/>
        <v>0</v>
      </c>
      <c r="R670" s="306">
        <f t="shared" ca="1" si="310"/>
        <v>0</v>
      </c>
      <c r="S670" s="307">
        <f t="shared" ca="1" si="311"/>
        <v>6.1519999999999921</v>
      </c>
      <c r="T670" s="304">
        <f t="shared" ca="1" si="291"/>
        <v>60.351119999999923</v>
      </c>
      <c r="U670" s="311">
        <f t="shared" ca="1" si="292"/>
        <v>0</v>
      </c>
      <c r="V670" s="306">
        <f t="shared" ca="1" si="293"/>
        <v>1.0754247828424792</v>
      </c>
      <c r="W670" s="304">
        <f t="shared" ca="1" si="294"/>
        <v>24.546361070542787</v>
      </c>
      <c r="Y670" s="314" t="str">
        <f t="shared" ca="1" si="312"/>
        <v/>
      </c>
      <c r="Z670" s="315" t="str">
        <f t="shared" ca="1" si="313"/>
        <v/>
      </c>
      <c r="AA670" s="316" t="str">
        <f t="shared" ca="1" si="314"/>
        <v/>
      </c>
      <c r="AC670" s="310" t="e">
        <f t="shared" ca="1" si="315"/>
        <v>#N/A</v>
      </c>
      <c r="AD670" s="323" t="e">
        <f t="shared" ca="1" si="316"/>
        <v>#N/A</v>
      </c>
      <c r="AE670" s="324" t="e">
        <f t="shared" ca="1" si="295"/>
        <v>#N/A</v>
      </c>
      <c r="AG670" s="306">
        <f t="shared" ca="1" si="317"/>
        <v>5.8082347417778921</v>
      </c>
      <c r="AH670" s="304">
        <f t="shared" ca="1" si="318"/>
        <v>-3.9393606870067073</v>
      </c>
    </row>
    <row r="671" spans="1:34" x14ac:dyDescent="0.2">
      <c r="A671" s="347">
        <f t="shared" ca="1" si="296"/>
        <v>0.1</v>
      </c>
      <c r="B671" s="304">
        <f t="shared" ca="1" si="297"/>
        <v>30.700000000000124</v>
      </c>
      <c r="D671" s="306">
        <f t="shared" ca="1" si="298"/>
        <v>-0.44490252923272516</v>
      </c>
      <c r="E671" s="307">
        <f t="shared" ca="1" si="299"/>
        <v>-5.8449013288693532</v>
      </c>
      <c r="F671" s="304">
        <f t="shared" ca="1" si="300"/>
        <v>5.8618094309467619</v>
      </c>
      <c r="G671" s="306">
        <f t="shared" ca="1" si="301"/>
        <v>10.980997599180247</v>
      </c>
      <c r="H671" s="307">
        <f t="shared" ca="1" si="302"/>
        <v>-98.846793353183159</v>
      </c>
      <c r="I671" s="304">
        <f t="shared" ca="1" si="303"/>
        <v>99.454868480532909</v>
      </c>
      <c r="J671" s="306">
        <f t="shared" ca="1" si="304"/>
        <v>477.10489548756715</v>
      </c>
      <c r="K671" s="307">
        <f t="shared" ca="1" si="305"/>
        <v>1290.5584363197338</v>
      </c>
      <c r="L671" s="304">
        <f t="shared" ca="1" si="290"/>
        <v>1375.9252010390094</v>
      </c>
      <c r="M671" s="306">
        <f t="shared" ca="1" si="306"/>
        <v>-1.4601588867871911</v>
      </c>
      <c r="N671" s="304">
        <f t="shared" ca="1" si="307"/>
        <v>-83.660941631426638</v>
      </c>
      <c r="P671" s="310">
        <f t="shared" ca="1" si="308"/>
        <v>23</v>
      </c>
      <c r="Q671" s="304">
        <f t="shared" ca="1" si="309"/>
        <v>0</v>
      </c>
      <c r="R671" s="306">
        <f t="shared" ca="1" si="310"/>
        <v>0</v>
      </c>
      <c r="S671" s="307">
        <f t="shared" ca="1" si="311"/>
        <v>6.1519999999999921</v>
      </c>
      <c r="T671" s="304">
        <f t="shared" ca="1" si="291"/>
        <v>60.351119999999923</v>
      </c>
      <c r="U671" s="311">
        <f t="shared" ca="1" si="292"/>
        <v>0</v>
      </c>
      <c r="V671" s="306">
        <f t="shared" ca="1" si="293"/>
        <v>1.0764896554526493</v>
      </c>
      <c r="W671" s="304">
        <f t="shared" ca="1" si="294"/>
        <v>24.857735908155917</v>
      </c>
      <c r="Y671" s="314" t="str">
        <f t="shared" ca="1" si="312"/>
        <v/>
      </c>
      <c r="Z671" s="315" t="str">
        <f t="shared" ca="1" si="313"/>
        <v/>
      </c>
      <c r="AA671" s="316" t="str">
        <f t="shared" ca="1" si="314"/>
        <v/>
      </c>
      <c r="AC671" s="310" t="e">
        <f t="shared" ca="1" si="315"/>
        <v>#N/A</v>
      </c>
      <c r="AD671" s="323" t="e">
        <f t="shared" ca="1" si="316"/>
        <v>#N/A</v>
      </c>
      <c r="AE671" s="324" t="e">
        <f t="shared" ca="1" si="295"/>
        <v>#N/A</v>
      </c>
      <c r="AG671" s="306">
        <f t="shared" ca="1" si="317"/>
        <v>5.7588429976146127</v>
      </c>
      <c r="AH671" s="304">
        <f t="shared" ca="1" si="318"/>
        <v>-3.9899806681636569</v>
      </c>
    </row>
    <row r="672" spans="1:34" x14ac:dyDescent="0.2">
      <c r="A672" s="347">
        <f t="shared" ca="1" si="296"/>
        <v>0.1</v>
      </c>
      <c r="B672" s="304">
        <f t="shared" ca="1" si="297"/>
        <v>30.800000000000125</v>
      </c>
      <c r="D672" s="306">
        <f t="shared" ca="1" si="298"/>
        <v>-0.44612955185638248</v>
      </c>
      <c r="E672" s="307">
        <f t="shared" ca="1" si="299"/>
        <v>-5.7941102574880761</v>
      </c>
      <c r="F672" s="304">
        <f t="shared" ca="1" si="300"/>
        <v>5.8112602121199251</v>
      </c>
      <c r="G672" s="306">
        <f t="shared" ca="1" si="301"/>
        <v>10.936384643994609</v>
      </c>
      <c r="H672" s="307">
        <f t="shared" ca="1" si="302"/>
        <v>-99.42620437893197</v>
      </c>
      <c r="I672" s="304">
        <f t="shared" ca="1" si="303"/>
        <v>100.02586978518383</v>
      </c>
      <c r="J672" s="306">
        <f t="shared" ca="1" si="304"/>
        <v>478.20076459972591</v>
      </c>
      <c r="K672" s="307">
        <f t="shared" ca="1" si="305"/>
        <v>1280.644786433128</v>
      </c>
      <c r="L672" s="304">
        <f t="shared" ca="1" si="290"/>
        <v>1367.0139137119691</v>
      </c>
      <c r="M672" s="306">
        <f t="shared" ca="1" si="306"/>
        <v>-1.461241747269413</v>
      </c>
      <c r="N672" s="304">
        <f t="shared" ca="1" si="307"/>
        <v>-83.722984966859457</v>
      </c>
      <c r="P672" s="310">
        <f t="shared" ca="1" si="308"/>
        <v>23</v>
      </c>
      <c r="Q672" s="304">
        <f t="shared" ca="1" si="309"/>
        <v>0</v>
      </c>
      <c r="R672" s="306">
        <f t="shared" ca="1" si="310"/>
        <v>0</v>
      </c>
      <c r="S672" s="307">
        <f t="shared" ca="1" si="311"/>
        <v>6.1519999999999921</v>
      </c>
      <c r="T672" s="304">
        <f t="shared" ca="1" si="291"/>
        <v>60.351119999999923</v>
      </c>
      <c r="U672" s="311">
        <f t="shared" ca="1" si="292"/>
        <v>0</v>
      </c>
      <c r="V672" s="306">
        <f t="shared" ca="1" si="293"/>
        <v>1.0775618110612215</v>
      </c>
      <c r="W672" s="304">
        <f t="shared" ca="1" si="294"/>
        <v>25.16903001255243</v>
      </c>
      <c r="Y672" s="314" t="str">
        <f t="shared" ca="1" si="312"/>
        <v/>
      </c>
      <c r="Z672" s="315" t="str">
        <f t="shared" ca="1" si="313"/>
        <v/>
      </c>
      <c r="AA672" s="316" t="str">
        <f t="shared" ca="1" si="314"/>
        <v/>
      </c>
      <c r="AC672" s="310" t="e">
        <f t="shared" ca="1" si="315"/>
        <v>#N/A</v>
      </c>
      <c r="AD672" s="323" t="e">
        <f t="shared" ca="1" si="316"/>
        <v>#N/A</v>
      </c>
      <c r="AE672" s="324" t="e">
        <f t="shared" ca="1" si="295"/>
        <v>#N/A</v>
      </c>
      <c r="AG672" s="306">
        <f t="shared" ca="1" si="317"/>
        <v>5.7094266014817601</v>
      </c>
      <c r="AH672" s="304">
        <f t="shared" ca="1" si="318"/>
        <v>-4.0405942633543477</v>
      </c>
    </row>
    <row r="673" spans="1:34" x14ac:dyDescent="0.2">
      <c r="A673" s="347">
        <f t="shared" ca="1" si="296"/>
        <v>0.1</v>
      </c>
      <c r="B673" s="304">
        <f t="shared" ca="1" si="297"/>
        <v>30.900000000000126</v>
      </c>
      <c r="D673" s="306">
        <f t="shared" ca="1" si="298"/>
        <v>-0.44731307387349822</v>
      </c>
      <c r="E673" s="307">
        <f t="shared" ca="1" si="299"/>
        <v>-5.7433323989535561</v>
      </c>
      <c r="F673" s="304">
        <f t="shared" ca="1" si="300"/>
        <v>5.7607253042414515</v>
      </c>
      <c r="G673" s="306">
        <f t="shared" ca="1" si="301"/>
        <v>10.891653336607259</v>
      </c>
      <c r="H673" s="307">
        <f t="shared" ca="1" si="302"/>
        <v>-100.00053761882732</v>
      </c>
      <c r="I673" s="304">
        <f t="shared" ca="1" si="303"/>
        <v>100.59192629858187</v>
      </c>
      <c r="J673" s="306">
        <f t="shared" ca="1" si="304"/>
        <v>479.29216649875599</v>
      </c>
      <c r="K673" s="307">
        <f t="shared" ca="1" si="305"/>
        <v>1270.6734493332401</v>
      </c>
      <c r="L673" s="304">
        <f t="shared" ca="1" si="290"/>
        <v>1358.0618526810572</v>
      </c>
      <c r="M673" s="306">
        <f t="shared" ca="1" si="306"/>
        <v>-1.4623080177959478</v>
      </c>
      <c r="N673" s="304">
        <f t="shared" ca="1" si="307"/>
        <v>-83.784077767849084</v>
      </c>
      <c r="P673" s="310">
        <f t="shared" ca="1" si="308"/>
        <v>23</v>
      </c>
      <c r="Q673" s="304">
        <f t="shared" ca="1" si="309"/>
        <v>0</v>
      </c>
      <c r="R673" s="306">
        <f t="shared" ca="1" si="310"/>
        <v>0</v>
      </c>
      <c r="S673" s="307">
        <f t="shared" ca="1" si="311"/>
        <v>6.1519999999999921</v>
      </c>
      <c r="T673" s="304">
        <f t="shared" ca="1" si="291"/>
        <v>60.351119999999923</v>
      </c>
      <c r="U673" s="311">
        <f t="shared" ca="1" si="292"/>
        <v>0</v>
      </c>
      <c r="V673" s="306">
        <f t="shared" ca="1" si="293"/>
        <v>1.078641213651182</v>
      </c>
      <c r="W673" s="304">
        <f t="shared" ca="1" si="294"/>
        <v>25.480202422192704</v>
      </c>
      <c r="Y673" s="314" t="str">
        <f t="shared" ca="1" si="312"/>
        <v/>
      </c>
      <c r="Z673" s="315" t="str">
        <f t="shared" ca="1" si="313"/>
        <v/>
      </c>
      <c r="AA673" s="316" t="str">
        <f t="shared" ca="1" si="314"/>
        <v/>
      </c>
      <c r="AC673" s="310" t="e">
        <f t="shared" ca="1" si="315"/>
        <v>#N/A</v>
      </c>
      <c r="AD673" s="323" t="e">
        <f t="shared" ca="1" si="316"/>
        <v>#N/A</v>
      </c>
      <c r="AE673" s="324" t="e">
        <f t="shared" ca="1" si="295"/>
        <v>#N/A</v>
      </c>
      <c r="AG673" s="306">
        <f t="shared" ca="1" si="317"/>
        <v>5.659993302714466</v>
      </c>
      <c r="AH673" s="304">
        <f t="shared" ca="1" si="318"/>
        <v>-4.0911947354604132</v>
      </c>
    </row>
    <row r="674" spans="1:34" x14ac:dyDescent="0.2">
      <c r="A674" s="347">
        <f t="shared" ca="1" si="296"/>
        <v>0.1</v>
      </c>
      <c r="B674" s="304">
        <f t="shared" ca="1" si="297"/>
        <v>31.000000000000128</v>
      </c>
      <c r="D674" s="306">
        <f t="shared" ca="1" si="298"/>
        <v>-0.44845330833730679</v>
      </c>
      <c r="E674" s="307">
        <f t="shared" ca="1" si="299"/>
        <v>-5.6925744315654319</v>
      </c>
      <c r="F674" s="304">
        <f t="shared" ca="1" si="300"/>
        <v>5.7102113821356184</v>
      </c>
      <c r="G674" s="306">
        <f t="shared" ca="1" si="301"/>
        <v>10.846808005773529</v>
      </c>
      <c r="H674" s="307">
        <f t="shared" ca="1" si="302"/>
        <v>-100.56979506198387</v>
      </c>
      <c r="I674" s="304">
        <f t="shared" ca="1" si="303"/>
        <v>101.15303714038224</v>
      </c>
      <c r="J674" s="306">
        <f t="shared" ca="1" si="304"/>
        <v>480.37908956587501</v>
      </c>
      <c r="K674" s="307">
        <f t="shared" ca="1" si="305"/>
        <v>1260.6449326991994</v>
      </c>
      <c r="L674" s="304">
        <f t="shared" ca="1" si="290"/>
        <v>1349.0699448258079</v>
      </c>
      <c r="M674" s="306">
        <f t="shared" ca="1" si="306"/>
        <v>-1.46335809406852</v>
      </c>
      <c r="N674" s="304">
        <f t="shared" ca="1" si="307"/>
        <v>-83.844242706434301</v>
      </c>
      <c r="P674" s="310">
        <f t="shared" ca="1" si="308"/>
        <v>23</v>
      </c>
      <c r="Q674" s="304">
        <f t="shared" ca="1" si="309"/>
        <v>0</v>
      </c>
      <c r="R674" s="306">
        <f t="shared" ca="1" si="310"/>
        <v>0</v>
      </c>
      <c r="S674" s="307">
        <f t="shared" ca="1" si="311"/>
        <v>6.1519999999999921</v>
      </c>
      <c r="T674" s="304">
        <f t="shared" ca="1" si="291"/>
        <v>60.351119999999923</v>
      </c>
      <c r="U674" s="311">
        <f t="shared" ca="1" si="292"/>
        <v>0</v>
      </c>
      <c r="V674" s="306">
        <f t="shared" ca="1" si="293"/>
        <v>1.079727827171284</v>
      </c>
      <c r="W674" s="304">
        <f t="shared" ca="1" si="294"/>
        <v>25.791212667278511</v>
      </c>
      <c r="Y674" s="314" t="str">
        <f t="shared" ca="1" si="312"/>
        <v/>
      </c>
      <c r="Z674" s="315" t="str">
        <f t="shared" ca="1" si="313"/>
        <v/>
      </c>
      <c r="AA674" s="316" t="str">
        <f t="shared" ca="1" si="314"/>
        <v/>
      </c>
      <c r="AC674" s="310">
        <f t="shared" ca="1" si="315"/>
        <v>31.000000000000128</v>
      </c>
      <c r="AD674" s="323">
        <f t="shared" ca="1" si="316"/>
        <v>480.37908956587501</v>
      </c>
      <c r="AE674" s="324" t="e">
        <f t="shared" ca="1" si="295"/>
        <v>#N/A</v>
      </c>
      <c r="AG674" s="306">
        <f t="shared" ca="1" si="317"/>
        <v>5.6105507309250662</v>
      </c>
      <c r="AH674" s="304">
        <f t="shared" ca="1" si="318"/>
        <v>-4.1417754262341901</v>
      </c>
    </row>
    <row r="675" spans="1:34" x14ac:dyDescent="0.2">
      <c r="A675" s="347">
        <f t="shared" ca="1" si="296"/>
        <v>0.1</v>
      </c>
      <c r="B675" s="304">
        <f t="shared" ca="1" si="297"/>
        <v>31.100000000000129</v>
      </c>
      <c r="D675" s="306">
        <f t="shared" ca="1" si="298"/>
        <v>-0.44955047579901969</v>
      </c>
      <c r="E675" s="307">
        <f t="shared" ca="1" si="299"/>
        <v>-5.6418429535159325</v>
      </c>
      <c r="F675" s="304">
        <f t="shared" ca="1" si="300"/>
        <v>5.6597250412390627</v>
      </c>
      <c r="G675" s="306">
        <f t="shared" ca="1" si="301"/>
        <v>10.801852958193626</v>
      </c>
      <c r="H675" s="307">
        <f t="shared" ca="1" si="302"/>
        <v>-101.13397935733546</v>
      </c>
      <c r="I675" s="304">
        <f t="shared" ca="1" si="303"/>
        <v>101.70920217945077</v>
      </c>
      <c r="J675" s="306">
        <f t="shared" ca="1" si="304"/>
        <v>481.46152261407337</v>
      </c>
      <c r="K675" s="307">
        <f t="shared" ca="1" si="305"/>
        <v>1250.5597439782334</v>
      </c>
      <c r="L675" s="304">
        <f t="shared" ca="1" si="290"/>
        <v>1340.0391304050665</v>
      </c>
      <c r="M675" s="306">
        <f t="shared" ca="1" si="306"/>
        <v>-1.4643923591514862</v>
      </c>
      <c r="N675" s="304">
        <f t="shared" ca="1" si="307"/>
        <v>-83.903501730586015</v>
      </c>
      <c r="P675" s="310">
        <f t="shared" ca="1" si="308"/>
        <v>23</v>
      </c>
      <c r="Q675" s="304">
        <f t="shared" ca="1" si="309"/>
        <v>0</v>
      </c>
      <c r="R675" s="306">
        <f t="shared" ca="1" si="310"/>
        <v>0</v>
      </c>
      <c r="S675" s="307">
        <f t="shared" ca="1" si="311"/>
        <v>6.1519999999999921</v>
      </c>
      <c r="T675" s="304">
        <f t="shared" ca="1" si="291"/>
        <v>60.351119999999923</v>
      </c>
      <c r="U675" s="311">
        <f t="shared" ca="1" si="292"/>
        <v>0</v>
      </c>
      <c r="V675" s="306">
        <f t="shared" ca="1" si="293"/>
        <v>1.0808216155405093</v>
      </c>
      <c r="W675" s="304">
        <f t="shared" ca="1" si="294"/>
        <v>26.102020775978524</v>
      </c>
      <c r="Y675" s="314" t="str">
        <f t="shared" ca="1" si="312"/>
        <v/>
      </c>
      <c r="Z675" s="315" t="str">
        <f t="shared" ca="1" si="313"/>
        <v/>
      </c>
      <c r="AA675" s="316" t="str">
        <f t="shared" ca="1" si="314"/>
        <v/>
      </c>
      <c r="AC675" s="310" t="e">
        <f t="shared" ca="1" si="315"/>
        <v>#N/A</v>
      </c>
      <c r="AD675" s="323" t="e">
        <f t="shared" ca="1" si="316"/>
        <v>#N/A</v>
      </c>
      <c r="AE675" s="324" t="e">
        <f t="shared" ca="1" si="295"/>
        <v>#N/A</v>
      </c>
      <c r="AG675" s="306">
        <f t="shared" ca="1" si="317"/>
        <v>5.5611063968985768</v>
      </c>
      <c r="AH675" s="304">
        <f t="shared" ca="1" si="318"/>
        <v>-4.1923297573599712</v>
      </c>
    </row>
    <row r="676" spans="1:34" x14ac:dyDescent="0.2">
      <c r="A676" s="347">
        <f t="shared" ca="1" si="296"/>
        <v>0.1</v>
      </c>
      <c r="B676" s="304">
        <f t="shared" ca="1" si="297"/>
        <v>31.200000000000131</v>
      </c>
      <c r="D676" s="306">
        <f t="shared" ca="1" si="298"/>
        <v>-0.4506048041250445</v>
      </c>
      <c r="E676" s="307">
        <f t="shared" ca="1" si="299"/>
        <v>-5.5911444818705149</v>
      </c>
      <c r="F676" s="304">
        <f t="shared" ca="1" si="300"/>
        <v>5.6092727965977618</v>
      </c>
      <c r="G676" s="306">
        <f t="shared" ca="1" si="301"/>
        <v>10.756792477781122</v>
      </c>
      <c r="H676" s="307">
        <f t="shared" ca="1" si="302"/>
        <v>-101.69309380552251</v>
      </c>
      <c r="I676" s="304">
        <f t="shared" ca="1" si="303"/>
        <v>102.26042202215308</v>
      </c>
      <c r="J676" s="306">
        <f t="shared" ca="1" si="304"/>
        <v>482.53945488587209</v>
      </c>
      <c r="K676" s="307">
        <f t="shared" ca="1" si="305"/>
        <v>1240.4183903200906</v>
      </c>
      <c r="L676" s="304">
        <f t="shared" ca="1" si="290"/>
        <v>1330.9703635189774</v>
      </c>
      <c r="M676" s="306">
        <f t="shared" ca="1" si="306"/>
        <v>-1.4654111839686652</v>
      </c>
      <c r="N676" s="304">
        <f t="shared" ca="1" si="307"/>
        <v>-83.961876092673563</v>
      </c>
      <c r="P676" s="310">
        <f t="shared" ca="1" si="308"/>
        <v>23</v>
      </c>
      <c r="Q676" s="304">
        <f t="shared" ca="1" si="309"/>
        <v>0</v>
      </c>
      <c r="R676" s="306">
        <f t="shared" ca="1" si="310"/>
        <v>0</v>
      </c>
      <c r="S676" s="307">
        <f t="shared" ca="1" si="311"/>
        <v>6.1519999999999921</v>
      </c>
      <c r="T676" s="304">
        <f t="shared" ca="1" si="291"/>
        <v>60.351119999999923</v>
      </c>
      <c r="U676" s="311">
        <f t="shared" ca="1" si="292"/>
        <v>0</v>
      </c>
      <c r="V676" s="306">
        <f t="shared" ca="1" si="293"/>
        <v>1.0819225426524932</v>
      </c>
      <c r="W676" s="304">
        <f t="shared" ca="1" si="294"/>
        <v>26.412587280351964</v>
      </c>
      <c r="Y676" s="314" t="str">
        <f t="shared" ca="1" si="312"/>
        <v/>
      </c>
      <c r="Z676" s="315" t="str">
        <f t="shared" ca="1" si="313"/>
        <v/>
      </c>
      <c r="AA676" s="316" t="str">
        <f t="shared" ca="1" si="314"/>
        <v/>
      </c>
      <c r="AC676" s="310" t="e">
        <f t="shared" ca="1" si="315"/>
        <v>#N/A</v>
      </c>
      <c r="AD676" s="323" t="e">
        <f t="shared" ca="1" si="316"/>
        <v>#N/A</v>
      </c>
      <c r="AE676" s="324" t="e">
        <f t="shared" ca="1" si="295"/>
        <v>#N/A</v>
      </c>
      <c r="AG676" s="306">
        <f t="shared" ca="1" si="317"/>
        <v>5.5116676934294055</v>
      </c>
      <c r="AH676" s="304">
        <f t="shared" ca="1" si="318"/>
        <v>-4.2428512314659557</v>
      </c>
    </row>
    <row r="677" spans="1:34" x14ac:dyDescent="0.2">
      <c r="A677" s="347">
        <f t="shared" ca="1" si="296"/>
        <v>0.1</v>
      </c>
      <c r="B677" s="304">
        <f t="shared" ca="1" si="297"/>
        <v>31.300000000000132</v>
      </c>
      <c r="D677" s="306">
        <f t="shared" ca="1" si="298"/>
        <v>-0.45161652831467042</v>
      </c>
      <c r="E677" s="307">
        <f t="shared" ca="1" si="299"/>
        <v>-5.5404854515979585</v>
      </c>
      <c r="F677" s="304">
        <f t="shared" ca="1" si="300"/>
        <v>5.5588610819137791</v>
      </c>
      <c r="G677" s="306">
        <f t="shared" ca="1" si="301"/>
        <v>10.711630824949655</v>
      </c>
      <c r="H677" s="307">
        <f t="shared" ca="1" si="302"/>
        <v>-102.24714235068231</v>
      </c>
      <c r="I677" s="304">
        <f t="shared" ca="1" si="303"/>
        <v>102.80669800071736</v>
      </c>
      <c r="J677" s="306">
        <f t="shared" ca="1" si="304"/>
        <v>483.61287605100864</v>
      </c>
      <c r="K677" s="307">
        <f t="shared" ca="1" si="305"/>
        <v>1230.2213785122804</v>
      </c>
      <c r="L677" s="304">
        <f t="shared" ca="1" si="290"/>
        <v>1321.8646125950204</v>
      </c>
      <c r="M677" s="306">
        <f t="shared" ca="1" si="306"/>
        <v>-1.4664149277770462</v>
      </c>
      <c r="N677" s="304">
        <f t="shared" ca="1" si="307"/>
        <v>-84.019386376606178</v>
      </c>
      <c r="P677" s="310">
        <f t="shared" ca="1" si="308"/>
        <v>23</v>
      </c>
      <c r="Q677" s="304">
        <f t="shared" ca="1" si="309"/>
        <v>0</v>
      </c>
      <c r="R677" s="306">
        <f t="shared" ca="1" si="310"/>
        <v>0</v>
      </c>
      <c r="S677" s="307">
        <f t="shared" ca="1" si="311"/>
        <v>6.1519999999999921</v>
      </c>
      <c r="T677" s="304">
        <f t="shared" ca="1" si="291"/>
        <v>60.351119999999923</v>
      </c>
      <c r="U677" s="311">
        <f t="shared" ca="1" si="292"/>
        <v>0</v>
      </c>
      <c r="V677" s="306">
        <f t="shared" ca="1" si="293"/>
        <v>1.0830305723799147</v>
      </c>
      <c r="W677" s="304">
        <f t="shared" ca="1" si="294"/>
        <v>26.722873221972186</v>
      </c>
      <c r="Y677" s="314" t="str">
        <f t="shared" ca="1" si="312"/>
        <v/>
      </c>
      <c r="Z677" s="315" t="str">
        <f t="shared" ca="1" si="313"/>
        <v/>
      </c>
      <c r="AA677" s="316" t="str">
        <f t="shared" ca="1" si="314"/>
        <v/>
      </c>
      <c r="AC677" s="310" t="e">
        <f t="shared" ca="1" si="315"/>
        <v>#N/A</v>
      </c>
      <c r="AD677" s="323" t="e">
        <f t="shared" ca="1" si="316"/>
        <v>#N/A</v>
      </c>
      <c r="AE677" s="324" t="e">
        <f t="shared" ca="1" si="295"/>
        <v>#N/A</v>
      </c>
      <c r="AG677" s="306">
        <f t="shared" ca="1" si="317"/>
        <v>5.462241896105823</v>
      </c>
      <c r="AH677" s="304">
        <f t="shared" ca="1" si="318"/>
        <v>-4.2933334330871258</v>
      </c>
    </row>
    <row r="678" spans="1:34" x14ac:dyDescent="0.2">
      <c r="A678" s="347">
        <f t="shared" ca="1" si="296"/>
        <v>0.1</v>
      </c>
      <c r="B678" s="304">
        <f t="shared" ca="1" si="297"/>
        <v>31.400000000000134</v>
      </c>
      <c r="D678" s="306">
        <f t="shared" ca="1" si="298"/>
        <v>-0.45258589031825591</v>
      </c>
      <c r="E678" s="307">
        <f t="shared" ca="1" si="299"/>
        <v>-5.4898722146495835</v>
      </c>
      <c r="F678" s="304">
        <f t="shared" ca="1" si="300"/>
        <v>5.5084962486414284</v>
      </c>
      <c r="G678" s="306">
        <f t="shared" ca="1" si="301"/>
        <v>10.666372235917828</v>
      </c>
      <c r="H678" s="307">
        <f t="shared" ca="1" si="302"/>
        <v>-102.79612957214727</v>
      </c>
      <c r="I678" s="304">
        <f t="shared" ca="1" si="303"/>
        <v>103.34803216166647</v>
      </c>
      <c r="J678" s="306">
        <f t="shared" ca="1" si="304"/>
        <v>484.68177620405203</v>
      </c>
      <c r="K678" s="307">
        <f t="shared" ca="1" si="305"/>
        <v>1219.969214916139</v>
      </c>
      <c r="L678" s="304">
        <f t="shared" ca="1" si="290"/>
        <v>1312.7228608992132</v>
      </c>
      <c r="M678" s="306">
        <f t="shared" ca="1" si="306"/>
        <v>-1.4674039386186075</v>
      </c>
      <c r="N678" s="304">
        <f t="shared" ca="1" si="307"/>
        <v>-84.076052523720321</v>
      </c>
      <c r="P678" s="310">
        <f t="shared" ca="1" si="308"/>
        <v>23</v>
      </c>
      <c r="Q678" s="304">
        <f t="shared" ca="1" si="309"/>
        <v>0</v>
      </c>
      <c r="R678" s="306">
        <f t="shared" ca="1" si="310"/>
        <v>0</v>
      </c>
      <c r="S678" s="307">
        <f t="shared" ca="1" si="311"/>
        <v>6.1519999999999921</v>
      </c>
      <c r="T678" s="304">
        <f t="shared" ca="1" si="291"/>
        <v>60.351119999999923</v>
      </c>
      <c r="U678" s="311">
        <f t="shared" ca="1" si="292"/>
        <v>0</v>
      </c>
      <c r="V678" s="306">
        <f t="shared" ca="1" si="293"/>
        <v>1.0841456685788433</v>
      </c>
      <c r="W678" s="304">
        <f t="shared" ca="1" si="294"/>
        <v>27.032840157251837</v>
      </c>
      <c r="Y678" s="314" t="str">
        <f t="shared" ca="1" si="312"/>
        <v/>
      </c>
      <c r="Z678" s="315" t="str">
        <f t="shared" ca="1" si="313"/>
        <v/>
      </c>
      <c r="AA678" s="316" t="str">
        <f t="shared" ca="1" si="314"/>
        <v/>
      </c>
      <c r="AC678" s="310" t="e">
        <f t="shared" ca="1" si="315"/>
        <v>#N/A</v>
      </c>
      <c r="AD678" s="323" t="e">
        <f t="shared" ca="1" si="316"/>
        <v>#N/A</v>
      </c>
      <c r="AE678" s="324" t="e">
        <f t="shared" ca="1" si="295"/>
        <v>#N/A</v>
      </c>
      <c r="AG678" s="306">
        <f t="shared" ca="1" si="317"/>
        <v>5.4128361640481648</v>
      </c>
      <c r="AH678" s="304">
        <f t="shared" ca="1" si="318"/>
        <v>-4.3437700295793595</v>
      </c>
    </row>
    <row r="679" spans="1:34" x14ac:dyDescent="0.2">
      <c r="A679" s="347">
        <f t="shared" ca="1" si="296"/>
        <v>0.1</v>
      </c>
      <c r="B679" s="304">
        <f t="shared" ca="1" si="297"/>
        <v>31.500000000000135</v>
      </c>
      <c r="D679" s="306">
        <f t="shared" ca="1" si="298"/>
        <v>-0.45351313885598771</v>
      </c>
      <c r="E679" s="307">
        <f t="shared" ca="1" si="299"/>
        <v>-5.439311039087344</v>
      </c>
      <c r="F679" s="304">
        <f t="shared" ca="1" si="300"/>
        <v>5.4581845651326644</v>
      </c>
      <c r="G679" s="306">
        <f t="shared" ca="1" si="301"/>
        <v>10.62102092203223</v>
      </c>
      <c r="H679" s="307">
        <f t="shared" ca="1" si="302"/>
        <v>-103.340060676056</v>
      </c>
      <c r="I679" s="304">
        <f t="shared" ca="1" si="303"/>
        <v>103.88442725431555</v>
      </c>
      <c r="J679" s="306">
        <f t="shared" ca="1" si="304"/>
        <v>485.74614586194951</v>
      </c>
      <c r="K679" s="307">
        <f t="shared" ca="1" si="305"/>
        <v>1209.6624054037288</v>
      </c>
      <c r="L679" s="304">
        <f t="shared" ca="1" si="290"/>
        <v>1303.5461070736521</v>
      </c>
      <c r="M679" s="306">
        <f t="shared" ca="1" si="306"/>
        <v>-1.4683785537514198</v>
      </c>
      <c r="N679" s="304">
        <f t="shared" ca="1" si="307"/>
        <v>-84.131893857480051</v>
      </c>
      <c r="P679" s="310">
        <f t="shared" ca="1" si="308"/>
        <v>23</v>
      </c>
      <c r="Q679" s="304">
        <f t="shared" ca="1" si="309"/>
        <v>0</v>
      </c>
      <c r="R679" s="306">
        <f t="shared" ca="1" si="310"/>
        <v>0</v>
      </c>
      <c r="S679" s="307">
        <f t="shared" ca="1" si="311"/>
        <v>6.1519999999999921</v>
      </c>
      <c r="T679" s="304">
        <f t="shared" ca="1" si="291"/>
        <v>60.351119999999923</v>
      </c>
      <c r="U679" s="311">
        <f t="shared" ca="1" si="292"/>
        <v>0</v>
      </c>
      <c r="V679" s="306">
        <f t="shared" ca="1" si="293"/>
        <v>1.0852677950930489</v>
      </c>
      <c r="W679" s="304">
        <f t="shared" ca="1" si="294"/>
        <v>27.34245016247182</v>
      </c>
      <c r="Y679" s="314" t="str">
        <f t="shared" ca="1" si="312"/>
        <v/>
      </c>
      <c r="Z679" s="315" t="str">
        <f t="shared" ca="1" si="313"/>
        <v/>
      </c>
      <c r="AA679" s="316" t="str">
        <f t="shared" ca="1" si="314"/>
        <v/>
      </c>
      <c r="AC679" s="310" t="e">
        <f t="shared" ca="1" si="315"/>
        <v>#N/A</v>
      </c>
      <c r="AD679" s="323" t="e">
        <f t="shared" ca="1" si="316"/>
        <v>#N/A</v>
      </c>
      <c r="AE679" s="324" t="e">
        <f t="shared" ca="1" si="295"/>
        <v>#N/A</v>
      </c>
      <c r="AG679" s="306">
        <f t="shared" ca="1" si="317"/>
        <v>5.3634575406063361</v>
      </c>
      <c r="AH679" s="304">
        <f t="shared" ca="1" si="318"/>
        <v>-4.3941547719850247</v>
      </c>
    </row>
    <row r="680" spans="1:34" x14ac:dyDescent="0.2">
      <c r="A680" s="347">
        <f t="shared" ca="1" si="296"/>
        <v>0.1</v>
      </c>
      <c r="B680" s="304">
        <f t="shared" ca="1" si="297"/>
        <v>31.600000000000136</v>
      </c>
      <c r="D680" s="306">
        <f t="shared" ca="1" si="298"/>
        <v>-0.45439852923722535</v>
      </c>
      <c r="E680" s="307">
        <f t="shared" ca="1" si="299"/>
        <v>-5.388808108260406</v>
      </c>
      <c r="F680" s="304">
        <f t="shared" ca="1" si="300"/>
        <v>5.407932215831301</v>
      </c>
      <c r="G680" s="306">
        <f t="shared" ca="1" si="301"/>
        <v>10.575581069108507</v>
      </c>
      <c r="H680" s="307">
        <f t="shared" ca="1" si="302"/>
        <v>-103.87894148688204</v>
      </c>
      <c r="I680" s="304">
        <f t="shared" ca="1" si="303"/>
        <v>104.41588671933188</v>
      </c>
      <c r="J680" s="306">
        <f t="shared" ca="1" si="304"/>
        <v>486.80597596150653</v>
      </c>
      <c r="K680" s="307">
        <f t="shared" ca="1" si="305"/>
        <v>1199.3014552955819</v>
      </c>
      <c r="L680" s="304">
        <f t="shared" ca="1" si="290"/>
        <v>1294.3353657016157</v>
      </c>
      <c r="M680" s="306">
        <f t="shared" ca="1" si="306"/>
        <v>-1.4693391000611202</v>
      </c>
      <c r="N680" s="304">
        <f t="shared" ca="1" si="307"/>
        <v>-84.186929107052748</v>
      </c>
      <c r="P680" s="310">
        <f t="shared" ca="1" si="308"/>
        <v>23</v>
      </c>
      <c r="Q680" s="304">
        <f t="shared" ca="1" si="309"/>
        <v>0</v>
      </c>
      <c r="R680" s="306">
        <f t="shared" ca="1" si="310"/>
        <v>0</v>
      </c>
      <c r="S680" s="307">
        <f t="shared" ca="1" si="311"/>
        <v>6.1519999999999921</v>
      </c>
      <c r="T680" s="304">
        <f t="shared" ca="1" si="291"/>
        <v>60.351119999999923</v>
      </c>
      <c r="U680" s="311">
        <f t="shared" ca="1" si="292"/>
        <v>0</v>
      </c>
      <c r="V680" s="306">
        <f t="shared" ca="1" si="293"/>
        <v>1.0863969157582694</v>
      </c>
      <c r="W680" s="304">
        <f t="shared" ca="1" si="294"/>
        <v>27.65166583851607</v>
      </c>
      <c r="Y680" s="314" t="str">
        <f t="shared" ca="1" si="312"/>
        <v/>
      </c>
      <c r="Z680" s="315" t="str">
        <f t="shared" ca="1" si="313"/>
        <v/>
      </c>
      <c r="AA680" s="316" t="str">
        <f t="shared" ca="1" si="314"/>
        <v/>
      </c>
      <c r="AC680" s="310" t="e">
        <f t="shared" ca="1" si="315"/>
        <v>#N/A</v>
      </c>
      <c r="AD680" s="323" t="e">
        <f t="shared" ca="1" si="316"/>
        <v>#N/A</v>
      </c>
      <c r="AE680" s="324" t="e">
        <f t="shared" ca="1" si="295"/>
        <v>#N/A</v>
      </c>
      <c r="AG680" s="306">
        <f t="shared" ca="1" si="317"/>
        <v>5.3141129540217031</v>
      </c>
      <c r="AH680" s="304">
        <f t="shared" ca="1" si="318"/>
        <v>-4.4444814958504315</v>
      </c>
    </row>
    <row r="681" spans="1:34" x14ac:dyDescent="0.2">
      <c r="A681" s="347">
        <f t="shared" ca="1" si="296"/>
        <v>0.1</v>
      </c>
      <c r="B681" s="304">
        <f t="shared" ca="1" si="297"/>
        <v>31.700000000000138</v>
      </c>
      <c r="D681" s="306">
        <f t="shared" ca="1" si="298"/>
        <v>-0.45524232318051333</v>
      </c>
      <c r="E681" s="307">
        <f t="shared" ca="1" si="299"/>
        <v>-5.3383695200298584</v>
      </c>
      <c r="F681" s="304">
        <f t="shared" ca="1" si="300"/>
        <v>5.3577453005157505</v>
      </c>
      <c r="G681" s="306">
        <f t="shared" ca="1" si="301"/>
        <v>10.530056836790456</v>
      </c>
      <c r="H681" s="307">
        <f t="shared" ca="1" si="302"/>
        <v>-104.41277843888503</v>
      </c>
      <c r="I681" s="304">
        <f t="shared" ca="1" si="303"/>
        <v>104.94241467735404</v>
      </c>
      <c r="J681" s="306">
        <f t="shared" ca="1" si="304"/>
        <v>487.8612578568015</v>
      </c>
      <c r="K681" s="307">
        <f t="shared" ca="1" si="305"/>
        <v>1188.8868692992935</v>
      </c>
      <c r="L681" s="304">
        <f t="shared" ca="1" si="290"/>
        <v>1285.0916679015143</v>
      </c>
      <c r="M681" s="306">
        <f t="shared" ca="1" si="306"/>
        <v>-1.470285894453794</v>
      </c>
      <c r="N681" s="304">
        <f t="shared" ca="1" si="307"/>
        <v>-84.241176429819603</v>
      </c>
      <c r="P681" s="310">
        <f t="shared" ca="1" si="308"/>
        <v>23</v>
      </c>
      <c r="Q681" s="304">
        <f t="shared" ca="1" si="309"/>
        <v>0</v>
      </c>
      <c r="R681" s="306">
        <f t="shared" ca="1" si="310"/>
        <v>0</v>
      </c>
      <c r="S681" s="307">
        <f t="shared" ca="1" si="311"/>
        <v>6.1519999999999921</v>
      </c>
      <c r="T681" s="304">
        <f t="shared" ca="1" si="291"/>
        <v>60.351119999999923</v>
      </c>
      <c r="U681" s="311">
        <f t="shared" ca="1" si="292"/>
        <v>0</v>
      </c>
      <c r="V681" s="306">
        <f t="shared" ca="1" si="293"/>
        <v>1.0875329944064402</v>
      </c>
      <c r="W681" s="304">
        <f t="shared" ca="1" si="294"/>
        <v>27.960450315314755</v>
      </c>
      <c r="Y681" s="314" t="str">
        <f t="shared" ca="1" si="312"/>
        <v/>
      </c>
      <c r="Z681" s="315" t="str">
        <f t="shared" ca="1" si="313"/>
        <v/>
      </c>
      <c r="AA681" s="316" t="str">
        <f t="shared" ca="1" si="314"/>
        <v/>
      </c>
      <c r="AC681" s="310" t="e">
        <f t="shared" ca="1" si="315"/>
        <v>#N/A</v>
      </c>
      <c r="AD681" s="323" t="e">
        <f t="shared" ca="1" si="316"/>
        <v>#N/A</v>
      </c>
      <c r="AE681" s="324" t="e">
        <f t="shared" ca="1" si="295"/>
        <v>#N/A</v>
      </c>
      <c r="AG681" s="306">
        <f t="shared" ca="1" si="317"/>
        <v>5.2648092180581232</v>
      </c>
      <c r="AH681" s="304">
        <f t="shared" ca="1" si="318"/>
        <v>-4.494744121995466</v>
      </c>
    </row>
    <row r="682" spans="1:34" x14ac:dyDescent="0.2">
      <c r="A682" s="347">
        <f t="shared" ca="1" si="296"/>
        <v>0.1</v>
      </c>
      <c r="B682" s="304">
        <f t="shared" ca="1" si="297"/>
        <v>31.800000000000139</v>
      </c>
      <c r="D682" s="306">
        <f t="shared" ca="1" si="298"/>
        <v>-0.45604478863428771</v>
      </c>
      <c r="E682" s="307">
        <f t="shared" ca="1" si="299"/>
        <v>-5.2880012860411547</v>
      </c>
      <c r="F682" s="304">
        <f t="shared" ca="1" si="300"/>
        <v>5.3076298335898855</v>
      </c>
      <c r="G682" s="306">
        <f t="shared" ca="1" si="301"/>
        <v>10.484452357927028</v>
      </c>
      <c r="H682" s="307">
        <f t="shared" ca="1" si="302"/>
        <v>-104.94157856748915</v>
      </c>
      <c r="I682" s="304">
        <f t="shared" ca="1" si="303"/>
        <v>105.46401591766805</v>
      </c>
      <c r="J682" s="306">
        <f t="shared" ca="1" si="304"/>
        <v>488.91198331653737</v>
      </c>
      <c r="K682" s="307">
        <f t="shared" ca="1" si="305"/>
        <v>1178.4191514489748</v>
      </c>
      <c r="L682" s="304">
        <f t="shared" ca="1" si="290"/>
        <v>1275.816061951029</v>
      </c>
      <c r="M682" s="306">
        <f t="shared" ca="1" si="306"/>
        <v>-1.4712192442312286</v>
      </c>
      <c r="N682" s="304">
        <f t="shared" ca="1" si="307"/>
        <v>-84.294653432876089</v>
      </c>
      <c r="P682" s="310">
        <f t="shared" ca="1" si="308"/>
        <v>23</v>
      </c>
      <c r="Q682" s="304">
        <f t="shared" ca="1" si="309"/>
        <v>0</v>
      </c>
      <c r="R682" s="306">
        <f t="shared" ca="1" si="310"/>
        <v>0</v>
      </c>
      <c r="S682" s="307">
        <f t="shared" ca="1" si="311"/>
        <v>6.1519999999999921</v>
      </c>
      <c r="T682" s="304">
        <f t="shared" ca="1" si="291"/>
        <v>60.351119999999923</v>
      </c>
      <c r="U682" s="311">
        <f t="shared" ca="1" si="292"/>
        <v>0</v>
      </c>
      <c r="V682" s="306">
        <f t="shared" ca="1" si="293"/>
        <v>1.0886759948698788</v>
      </c>
      <c r="W682" s="304">
        <f t="shared" ca="1" si="294"/>
        <v>28.268767255998043</v>
      </c>
      <c r="Y682" s="314" t="str">
        <f t="shared" ca="1" si="312"/>
        <v/>
      </c>
      <c r="Z682" s="315" t="str">
        <f t="shared" ca="1" si="313"/>
        <v/>
      </c>
      <c r="AA682" s="316" t="str">
        <f t="shared" ca="1" si="314"/>
        <v/>
      </c>
      <c r="AC682" s="310" t="e">
        <f t="shared" ca="1" si="315"/>
        <v>#N/A</v>
      </c>
      <c r="AD682" s="323" t="e">
        <f t="shared" ca="1" si="316"/>
        <v>#N/A</v>
      </c>
      <c r="AE682" s="324" t="e">
        <f t="shared" ca="1" si="295"/>
        <v>#N/A</v>
      </c>
      <c r="AG682" s="306">
        <f t="shared" ca="1" si="317"/>
        <v>5.2155530326064063</v>
      </c>
      <c r="AH682" s="304">
        <f t="shared" ca="1" si="318"/>
        <v>-4.5449366572358247</v>
      </c>
    </row>
    <row r="683" spans="1:34" x14ac:dyDescent="0.2">
      <c r="A683" s="347">
        <f t="shared" ca="1" si="296"/>
        <v>0.1</v>
      </c>
      <c r="B683" s="304">
        <f t="shared" ca="1" si="297"/>
        <v>31.900000000000141</v>
      </c>
      <c r="D683" s="306">
        <f t="shared" ca="1" si="298"/>
        <v>-0.45680619959833391</v>
      </c>
      <c r="E683" s="307">
        <f t="shared" ca="1" si="299"/>
        <v>-5.2377093310438863</v>
      </c>
      <c r="F683" s="304">
        <f t="shared" ca="1" si="300"/>
        <v>5.2575917434216652</v>
      </c>
      <c r="G683" s="306">
        <f t="shared" ca="1" si="301"/>
        <v>10.438771737967194</v>
      </c>
      <c r="H683" s="307">
        <f t="shared" ca="1" si="302"/>
        <v>-105.46534950059353</v>
      </c>
      <c r="I683" s="304">
        <f t="shared" ca="1" si="303"/>
        <v>105.98069588693842</v>
      </c>
      <c r="J683" s="306">
        <f t="shared" ca="1" si="304"/>
        <v>489.95814452133209</v>
      </c>
      <c r="K683" s="307">
        <f t="shared" ca="1" si="305"/>
        <v>1167.8988050455707</v>
      </c>
      <c r="L683" s="304">
        <f t="shared" ca="1" si="290"/>
        <v>1266.5096139428467</v>
      </c>
      <c r="M683" s="306">
        <f t="shared" ca="1" si="306"/>
        <v>-1.4721394474494522</v>
      </c>
      <c r="N683" s="304">
        <f t="shared" ca="1" si="307"/>
        <v>-84.347377193574658</v>
      </c>
      <c r="P683" s="310">
        <f t="shared" ca="1" si="308"/>
        <v>23</v>
      </c>
      <c r="Q683" s="304">
        <f t="shared" ca="1" si="309"/>
        <v>0</v>
      </c>
      <c r="R683" s="306">
        <f t="shared" ca="1" si="310"/>
        <v>0</v>
      </c>
      <c r="S683" s="307">
        <f t="shared" ca="1" si="311"/>
        <v>6.1519999999999921</v>
      </c>
      <c r="T683" s="304">
        <f t="shared" ca="1" si="291"/>
        <v>60.351119999999923</v>
      </c>
      <c r="U683" s="311">
        <f t="shared" ca="1" si="292"/>
        <v>0</v>
      </c>
      <c r="V683" s="306">
        <f t="shared" ca="1" si="293"/>
        <v>1.089825880985428</v>
      </c>
      <c r="W683" s="304">
        <f t="shared" ca="1" si="294"/>
        <v>28.576580860763446</v>
      </c>
      <c r="Y683" s="314" t="str">
        <f t="shared" ca="1" si="312"/>
        <v/>
      </c>
      <c r="Z683" s="315" t="str">
        <f t="shared" ca="1" si="313"/>
        <v/>
      </c>
      <c r="AA683" s="316" t="str">
        <f t="shared" ca="1" si="314"/>
        <v/>
      </c>
      <c r="AC683" s="310" t="e">
        <f t="shared" ca="1" si="315"/>
        <v>#N/A</v>
      </c>
      <c r="AD683" s="323" t="e">
        <f t="shared" ca="1" si="316"/>
        <v>#N/A</v>
      </c>
      <c r="AE683" s="324" t="e">
        <f t="shared" ca="1" si="295"/>
        <v>#N/A</v>
      </c>
      <c r="AG683" s="306">
        <f t="shared" ca="1" si="317"/>
        <v>5.166350984266276</v>
      </c>
      <c r="AH683" s="304">
        <f t="shared" ca="1" si="318"/>
        <v>-4.5950531950582052</v>
      </c>
    </row>
    <row r="684" spans="1:34" x14ac:dyDescent="0.2">
      <c r="A684" s="347">
        <f t="shared" ca="1" si="296"/>
        <v>0.1</v>
      </c>
      <c r="B684" s="304">
        <f t="shared" ca="1" si="297"/>
        <v>32.000000000000142</v>
      </c>
      <c r="D684" s="306">
        <f t="shared" ca="1" si="298"/>
        <v>-0.45752683594605814</v>
      </c>
      <c r="E684" s="307">
        <f t="shared" ca="1" si="299"/>
        <v>-5.1874994922584259</v>
      </c>
      <c r="F684" s="304">
        <f t="shared" ca="1" si="300"/>
        <v>5.20763687172908</v>
      </c>
      <c r="G684" s="306">
        <f t="shared" ca="1" si="301"/>
        <v>10.393019054372589</v>
      </c>
      <c r="H684" s="307">
        <f t="shared" ca="1" si="302"/>
        <v>-105.98409944981938</v>
      </c>
      <c r="I684" s="304">
        <f t="shared" ca="1" si="303"/>
        <v>106.4924606779924</v>
      </c>
      <c r="J684" s="306">
        <f t="shared" ca="1" si="304"/>
        <v>490.99973406094909</v>
      </c>
      <c r="K684" s="307">
        <f t="shared" ca="1" si="305"/>
        <v>1157.3263325980502</v>
      </c>
      <c r="L684" s="304">
        <f t="shared" ca="1" si="290"/>
        <v>1257.1734084734594</v>
      </c>
      <c r="M684" s="306">
        <f t="shared" ca="1" si="306"/>
        <v>-1.4730467932614171</v>
      </c>
      <c r="N684" s="304">
        <f t="shared" ca="1" si="307"/>
        <v>-84.399364279159116</v>
      </c>
      <c r="P684" s="310">
        <f t="shared" ca="1" si="308"/>
        <v>23</v>
      </c>
      <c r="Q684" s="304">
        <f t="shared" ca="1" si="309"/>
        <v>0</v>
      </c>
      <c r="R684" s="306">
        <f t="shared" ca="1" si="310"/>
        <v>0</v>
      </c>
      <c r="S684" s="307">
        <f t="shared" ca="1" si="311"/>
        <v>6.1519999999999921</v>
      </c>
      <c r="T684" s="304">
        <f t="shared" ca="1" si="291"/>
        <v>60.351119999999923</v>
      </c>
      <c r="U684" s="311">
        <f t="shared" ca="1" si="292"/>
        <v>0</v>
      </c>
      <c r="V684" s="306">
        <f t="shared" ca="1" si="293"/>
        <v>1.0909826165985577</v>
      </c>
      <c r="W684" s="304">
        <f t="shared" ca="1" si="294"/>
        <v>28.883855870459389</v>
      </c>
      <c r="Y684" s="314" t="str">
        <f t="shared" ca="1" si="312"/>
        <v/>
      </c>
      <c r="Z684" s="315" t="str">
        <f t="shared" ca="1" si="313"/>
        <v/>
      </c>
      <c r="AA684" s="316" t="str">
        <f t="shared" ca="1" si="314"/>
        <v/>
      </c>
      <c r="AC684" s="310">
        <f t="shared" ca="1" si="315"/>
        <v>32.000000000000142</v>
      </c>
      <c r="AD684" s="323">
        <f t="shared" ca="1" si="316"/>
        <v>490.99973406094909</v>
      </c>
      <c r="AE684" s="324" t="e">
        <f t="shared" ca="1" si="295"/>
        <v>#N/A</v>
      </c>
      <c r="AG684" s="306">
        <f t="shared" ca="1" si="317"/>
        <v>5.1172095469094758</v>
      </c>
      <c r="AH684" s="304">
        <f t="shared" ca="1" si="318"/>
        <v>-4.6450879162489409</v>
      </c>
    </row>
    <row r="685" spans="1:34" x14ac:dyDescent="0.2">
      <c r="A685" s="347">
        <f t="shared" ca="1" si="296"/>
        <v>0.1</v>
      </c>
      <c r="B685" s="304">
        <f t="shared" ca="1" si="297"/>
        <v>32.100000000000144</v>
      </c>
      <c r="D685" s="306">
        <f t="shared" ca="1" si="298"/>
        <v>-0.45820698324760578</v>
      </c>
      <c r="E685" s="307">
        <f t="shared" ca="1" si="299"/>
        <v>-5.1373775187889699</v>
      </c>
      <c r="F685" s="304">
        <f t="shared" ca="1" si="300"/>
        <v>5.1577709730129726</v>
      </c>
      <c r="G685" s="306">
        <f t="shared" ca="1" si="301"/>
        <v>10.347198356047828</v>
      </c>
      <c r="H685" s="307">
        <f t="shared" ca="1" si="302"/>
        <v>-106.49783720169827</v>
      </c>
      <c r="I685" s="304">
        <f t="shared" ca="1" si="303"/>
        <v>106.9993170186559</v>
      </c>
      <c r="J685" s="306">
        <f t="shared" ca="1" si="304"/>
        <v>492.03674493147014</v>
      </c>
      <c r="K685" s="307">
        <f t="shared" ca="1" si="305"/>
        <v>1146.7022357654744</v>
      </c>
      <c r="L685" s="304">
        <f t="shared" ca="1" si="290"/>
        <v>1247.8085493665662</v>
      </c>
      <c r="M685" s="306">
        <f t="shared" ca="1" si="306"/>
        <v>-1.4739415622446348</v>
      </c>
      <c r="N685" s="304">
        <f t="shared" ca="1" si="307"/>
        <v>-84.450630765536701</v>
      </c>
      <c r="P685" s="310">
        <f t="shared" ca="1" si="308"/>
        <v>23</v>
      </c>
      <c r="Q685" s="304">
        <f t="shared" ca="1" si="309"/>
        <v>0</v>
      </c>
      <c r="R685" s="306">
        <f t="shared" ca="1" si="310"/>
        <v>0</v>
      </c>
      <c r="S685" s="307">
        <f t="shared" ca="1" si="311"/>
        <v>6.1519999999999921</v>
      </c>
      <c r="T685" s="304">
        <f t="shared" ca="1" si="291"/>
        <v>60.351119999999923</v>
      </c>
      <c r="U685" s="311">
        <f t="shared" ca="1" si="292"/>
        <v>0</v>
      </c>
      <c r="V685" s="306">
        <f t="shared" ca="1" si="293"/>
        <v>1.0921461655674221</v>
      </c>
      <c r="W685" s="304">
        <f t="shared" ca="1" si="294"/>
        <v>29.190557569887837</v>
      </c>
      <c r="Y685" s="314" t="str">
        <f t="shared" ca="1" si="312"/>
        <v/>
      </c>
      <c r="Z685" s="315" t="str">
        <f t="shared" ca="1" si="313"/>
        <v/>
      </c>
      <c r="AA685" s="316" t="str">
        <f t="shared" ca="1" si="314"/>
        <v/>
      </c>
      <c r="AC685" s="310" t="e">
        <f t="shared" ca="1" si="315"/>
        <v>#N/A</v>
      </c>
      <c r="AD685" s="323" t="e">
        <f t="shared" ca="1" si="316"/>
        <v>#N/A</v>
      </c>
      <c r="AE685" s="324" t="e">
        <f t="shared" ca="1" si="295"/>
        <v>#N/A</v>
      </c>
      <c r="AG685" s="306">
        <f t="shared" ca="1" si="317"/>
        <v>5.0681350822274212</v>
      </c>
      <c r="AH685" s="304">
        <f t="shared" ca="1" si="318"/>
        <v>-4.6950350894764998</v>
      </c>
    </row>
    <row r="686" spans="1:34" x14ac:dyDescent="0.2">
      <c r="A686" s="347">
        <f t="shared" ca="1" si="296"/>
        <v>0.1</v>
      </c>
      <c r="B686" s="304">
        <f t="shared" ca="1" si="297"/>
        <v>32.200000000000145</v>
      </c>
      <c r="D686" s="306">
        <f t="shared" ca="1" si="298"/>
        <v>-0.45884693259388937</v>
      </c>
      <c r="E686" s="307">
        <f t="shared" ca="1" si="299"/>
        <v>-5.0873490710825271</v>
      </c>
      <c r="F686" s="304">
        <f t="shared" ca="1" si="300"/>
        <v>5.1079997140363149</v>
      </c>
      <c r="G686" s="306">
        <f t="shared" ca="1" si="301"/>
        <v>10.30131366278844</v>
      </c>
      <c r="H686" s="307">
        <f t="shared" ca="1" si="302"/>
        <v>-107.00657210880652</v>
      </c>
      <c r="I686" s="304">
        <f t="shared" ca="1" si="303"/>
        <v>107.50127226064053</v>
      </c>
      <c r="J686" s="306">
        <f t="shared" ca="1" si="304"/>
        <v>493.06917053241193</v>
      </c>
      <c r="K686" s="307">
        <f t="shared" ca="1" si="305"/>
        <v>1136.0270152999492</v>
      </c>
      <c r="L686" s="304">
        <f t="shared" ca="1" si="290"/>
        <v>1238.4161604326841</v>
      </c>
      <c r="M686" s="306">
        <f t="shared" ca="1" si="306"/>
        <v>-1.4748240267145263</v>
      </c>
      <c r="N686" s="304">
        <f t="shared" ca="1" si="307"/>
        <v>-84.501192255231729</v>
      </c>
      <c r="P686" s="310">
        <f t="shared" ca="1" si="308"/>
        <v>23</v>
      </c>
      <c r="Q686" s="304">
        <f t="shared" ca="1" si="309"/>
        <v>0</v>
      </c>
      <c r="R686" s="306">
        <f t="shared" ca="1" si="310"/>
        <v>0</v>
      </c>
      <c r="S686" s="307">
        <f t="shared" ca="1" si="311"/>
        <v>6.1519999999999921</v>
      </c>
      <c r="T686" s="304">
        <f t="shared" ca="1" si="291"/>
        <v>60.351119999999923</v>
      </c>
      <c r="U686" s="311">
        <f t="shared" ca="1" si="292"/>
        <v>0</v>
      </c>
      <c r="V686" s="306">
        <f t="shared" ca="1" si="293"/>
        <v>1.0933164917668714</v>
      </c>
      <c r="W686" s="304">
        <f t="shared" ca="1" si="294"/>
        <v>29.496651790829365</v>
      </c>
      <c r="Y686" s="314" t="str">
        <f t="shared" ca="1" si="312"/>
        <v/>
      </c>
      <c r="Z686" s="315" t="str">
        <f t="shared" ca="1" si="313"/>
        <v/>
      </c>
      <c r="AA686" s="316" t="str">
        <f t="shared" ca="1" si="314"/>
        <v/>
      </c>
      <c r="AC686" s="310" t="e">
        <f t="shared" ca="1" si="315"/>
        <v>#N/A</v>
      </c>
      <c r="AD686" s="323" t="e">
        <f t="shared" ca="1" si="316"/>
        <v>#N/A</v>
      </c>
      <c r="AE686" s="324" t="e">
        <f t="shared" ca="1" si="295"/>
        <v>#N/A</v>
      </c>
      <c r="AG686" s="306">
        <f t="shared" ca="1" si="317"/>
        <v>5.0191338402665542</v>
      </c>
      <c r="AH686" s="304">
        <f t="shared" ca="1" si="318"/>
        <v>-4.7448890718283279</v>
      </c>
    </row>
    <row r="687" spans="1:34" x14ac:dyDescent="0.2">
      <c r="A687" s="347">
        <f t="shared" ca="1" si="296"/>
        <v>0.1</v>
      </c>
      <c r="B687" s="304">
        <f t="shared" ca="1" si="297"/>
        <v>32.300000000000146</v>
      </c>
      <c r="D687" s="306">
        <f t="shared" ca="1" si="298"/>
        <v>-0.45944698042157894</v>
      </c>
      <c r="E687" s="307">
        <f t="shared" ca="1" si="299"/>
        <v>-5.0374197204332969</v>
      </c>
      <c r="F687" s="304">
        <f t="shared" ca="1" si="300"/>
        <v>5.0583286733494077</v>
      </c>
      <c r="G687" s="306">
        <f t="shared" ca="1" si="301"/>
        <v>10.255368964746282</v>
      </c>
      <c r="H687" s="307">
        <f t="shared" ca="1" si="302"/>
        <v>-107.51031408084985</v>
      </c>
      <c r="I687" s="304">
        <f t="shared" ca="1" si="303"/>
        <v>107.99833436848026</v>
      </c>
      <c r="J687" s="306">
        <f t="shared" ca="1" si="304"/>
        <v>494.09700466378865</v>
      </c>
      <c r="K687" s="307">
        <f t="shared" ca="1" si="305"/>
        <v>1125.3011709904663</v>
      </c>
      <c r="L687" s="304">
        <f t="shared" ca="1" si="290"/>
        <v>1228.9973862666441</v>
      </c>
      <c r="M687" s="306">
        <f t="shared" ca="1" si="306"/>
        <v>-1.4756944510242036</v>
      </c>
      <c r="N687" s="304">
        <f t="shared" ca="1" si="307"/>
        <v>-84.551063894561835</v>
      </c>
      <c r="P687" s="310">
        <f t="shared" ca="1" si="308"/>
        <v>23</v>
      </c>
      <c r="Q687" s="304">
        <f t="shared" ca="1" si="309"/>
        <v>0</v>
      </c>
      <c r="R687" s="306">
        <f t="shared" ca="1" si="310"/>
        <v>0</v>
      </c>
      <c r="S687" s="307">
        <f t="shared" ca="1" si="311"/>
        <v>6.1519999999999921</v>
      </c>
      <c r="T687" s="304">
        <f t="shared" ca="1" si="291"/>
        <v>60.351119999999923</v>
      </c>
      <c r="U687" s="311">
        <f t="shared" ca="1" si="292"/>
        <v>0</v>
      </c>
      <c r="V687" s="306">
        <f t="shared" ca="1" si="293"/>
        <v>1.0944935590924225</v>
      </c>
      <c r="W687" s="304">
        <f t="shared" ca="1" si="294"/>
        <v>29.802104914793553</v>
      </c>
      <c r="Y687" s="314" t="str">
        <f t="shared" ca="1" si="312"/>
        <v/>
      </c>
      <c r="Z687" s="315" t="str">
        <f t="shared" ca="1" si="313"/>
        <v/>
      </c>
      <c r="AA687" s="316" t="str">
        <f t="shared" ca="1" si="314"/>
        <v/>
      </c>
      <c r="AC687" s="310" t="e">
        <f t="shared" ca="1" si="315"/>
        <v>#N/A</v>
      </c>
      <c r="AD687" s="323" t="e">
        <f t="shared" ca="1" si="316"/>
        <v>#N/A</v>
      </c>
      <c r="AE687" s="324" t="e">
        <f t="shared" ca="1" si="295"/>
        <v>#N/A</v>
      </c>
      <c r="AG687" s="306">
        <f t="shared" ca="1" si="317"/>
        <v>4.9702119599541765</v>
      </c>
      <c r="AH687" s="304">
        <f t="shared" ca="1" si="318"/>
        <v>-4.7946443093025684</v>
      </c>
    </row>
    <row r="688" spans="1:34" x14ac:dyDescent="0.2">
      <c r="A688" s="347">
        <f t="shared" ca="1" si="296"/>
        <v>0.1</v>
      </c>
      <c r="B688" s="304">
        <f t="shared" ca="1" si="297"/>
        <v>32.400000000000148</v>
      </c>
      <c r="D688" s="306">
        <f t="shared" ca="1" si="298"/>
        <v>-0.46000742833910557</v>
      </c>
      <c r="E688" s="307">
        <f t="shared" ca="1" si="299"/>
        <v>-4.987594948531938</v>
      </c>
      <c r="F688" s="304">
        <f t="shared" ca="1" si="300"/>
        <v>5.0087633408605425</v>
      </c>
      <c r="G688" s="306">
        <f t="shared" ca="1" si="301"/>
        <v>10.209368221912371</v>
      </c>
      <c r="H688" s="307">
        <f t="shared" ca="1" si="302"/>
        <v>-108.00907357570304</v>
      </c>
      <c r="I688" s="304">
        <f t="shared" ca="1" si="303"/>
        <v>108.49051190851773</v>
      </c>
      <c r="J688" s="306">
        <f t="shared" ca="1" si="304"/>
        <v>495.12024152312159</v>
      </c>
      <c r="K688" s="307">
        <f t="shared" ca="1" si="305"/>
        <v>1114.5252016076386</v>
      </c>
      <c r="L688" s="304">
        <f t="shared" ca="1" si="290"/>
        <v>1219.5533930847232</v>
      </c>
      <c r="M688" s="306">
        <f t="shared" ca="1" si="306"/>
        <v>-1.476553091851365</v>
      </c>
      <c r="N688" s="304">
        <f t="shared" ca="1" si="307"/>
        <v>-84.600260390075803</v>
      </c>
      <c r="P688" s="310">
        <f t="shared" ca="1" si="308"/>
        <v>23</v>
      </c>
      <c r="Q688" s="304">
        <f t="shared" ca="1" si="309"/>
        <v>0</v>
      </c>
      <c r="R688" s="306">
        <f t="shared" ca="1" si="310"/>
        <v>0</v>
      </c>
      <c r="S688" s="307">
        <f t="shared" ca="1" si="311"/>
        <v>6.1519999999999921</v>
      </c>
      <c r="T688" s="304">
        <f t="shared" ca="1" si="291"/>
        <v>60.351119999999923</v>
      </c>
      <c r="U688" s="311">
        <f t="shared" ca="1" si="292"/>
        <v>0</v>
      </c>
      <c r="V688" s="306">
        <f t="shared" ca="1" si="293"/>
        <v>1.0956773314641806</v>
      </c>
      <c r="W688" s="304">
        <f t="shared" ca="1" si="294"/>
        <v>30.106883875498248</v>
      </c>
      <c r="Y688" s="314" t="str">
        <f t="shared" ca="1" si="312"/>
        <v/>
      </c>
      <c r="Z688" s="315" t="str">
        <f t="shared" ca="1" si="313"/>
        <v/>
      </c>
      <c r="AA688" s="316" t="str">
        <f t="shared" ca="1" si="314"/>
        <v/>
      </c>
      <c r="AC688" s="310" t="e">
        <f t="shared" ca="1" si="315"/>
        <v>#N/A</v>
      </c>
      <c r="AD688" s="323" t="e">
        <f t="shared" ca="1" si="316"/>
        <v>#N/A</v>
      </c>
      <c r="AE688" s="324" t="e">
        <f t="shared" ca="1" si="295"/>
        <v>#N/A</v>
      </c>
      <c r="AG688" s="306">
        <f t="shared" ca="1" si="317"/>
        <v>4.9213754696174998</v>
      </c>
      <c r="AH688" s="304">
        <f t="shared" ca="1" si="318"/>
        <v>-4.8442953372551347</v>
      </c>
    </row>
    <row r="689" spans="1:34" x14ac:dyDescent="0.2">
      <c r="A689" s="347">
        <f t="shared" ca="1" si="296"/>
        <v>0.1</v>
      </c>
      <c r="B689" s="304">
        <f t="shared" ca="1" si="297"/>
        <v>32.500000000000149</v>
      </c>
      <c r="D689" s="306">
        <f t="shared" ca="1" si="298"/>
        <v>-0.46052858295371779</v>
      </c>
      <c r="E689" s="307">
        <f t="shared" ca="1" si="299"/>
        <v>-4.937880147059178</v>
      </c>
      <c r="F689" s="304">
        <f t="shared" ca="1" si="300"/>
        <v>4.9593091174515962</v>
      </c>
      <c r="G689" s="306">
        <f t="shared" ca="1" si="301"/>
        <v>10.163315363616999</v>
      </c>
      <c r="H689" s="307">
        <f t="shared" ca="1" si="302"/>
        <v>-108.50286159040895</v>
      </c>
      <c r="I689" s="304">
        <f t="shared" ca="1" si="303"/>
        <v>108.97781403793974</v>
      </c>
      <c r="J689" s="306">
        <f t="shared" ca="1" si="304"/>
        <v>496.13887570239808</v>
      </c>
      <c r="K689" s="307">
        <f t="shared" ca="1" si="305"/>
        <v>1103.6996048493329</v>
      </c>
      <c r="L689" s="304">
        <f t="shared" ca="1" si="290"/>
        <v>1210.0853696032414</v>
      </c>
      <c r="M689" s="306">
        <f t="shared" ca="1" si="306"/>
        <v>-1.4774001984729366</v>
      </c>
      <c r="N689" s="304">
        <f t="shared" ca="1" si="307"/>
        <v>-84.648796024289439</v>
      </c>
      <c r="P689" s="310">
        <f t="shared" ca="1" si="308"/>
        <v>23</v>
      </c>
      <c r="Q689" s="304">
        <f t="shared" ca="1" si="309"/>
        <v>0</v>
      </c>
      <c r="R689" s="306">
        <f t="shared" ca="1" si="310"/>
        <v>0</v>
      </c>
      <c r="S689" s="307">
        <f t="shared" ca="1" si="311"/>
        <v>6.1519999999999921</v>
      </c>
      <c r="T689" s="304">
        <f t="shared" ca="1" si="291"/>
        <v>60.351119999999923</v>
      </c>
      <c r="U689" s="311">
        <f t="shared" ca="1" si="292"/>
        <v>0</v>
      </c>
      <c r="V689" s="306">
        <f t="shared" ca="1" si="293"/>
        <v>1.0968677728307172</v>
      </c>
      <c r="W689" s="304">
        <f t="shared" ca="1" si="294"/>
        <v>30.410956161081113</v>
      </c>
      <c r="Y689" s="314" t="str">
        <f t="shared" ca="1" si="312"/>
        <v/>
      </c>
      <c r="Z689" s="315" t="str">
        <f t="shared" ca="1" si="313"/>
        <v/>
      </c>
      <c r="AA689" s="316" t="str">
        <f t="shared" ca="1" si="314"/>
        <v/>
      </c>
      <c r="AC689" s="310" t="e">
        <f t="shared" ca="1" si="315"/>
        <v>#N/A</v>
      </c>
      <c r="AD689" s="323" t="e">
        <f t="shared" ca="1" si="316"/>
        <v>#N/A</v>
      </c>
      <c r="AE689" s="324" t="e">
        <f t="shared" ca="1" si="295"/>
        <v>#N/A</v>
      </c>
      <c r="AG689" s="306">
        <f t="shared" ca="1" si="317"/>
        <v>4.8726302874982048</v>
      </c>
      <c r="AH689" s="304">
        <f t="shared" ca="1" si="318"/>
        <v>-4.8938367808027126</v>
      </c>
    </row>
    <row r="690" spans="1:34" x14ac:dyDescent="0.2">
      <c r="A690" s="347">
        <f t="shared" ca="1" si="296"/>
        <v>0.1</v>
      </c>
      <c r="B690" s="304">
        <f t="shared" ca="1" si="297"/>
        <v>32.600000000000151</v>
      </c>
      <c r="D690" s="306">
        <f t="shared" ca="1" si="298"/>
        <v>-0.46101075569966871</v>
      </c>
      <c r="E690" s="307">
        <f t="shared" ca="1" si="299"/>
        <v>-4.8882806173231685</v>
      </c>
      <c r="F690" s="304">
        <f t="shared" ca="1" si="300"/>
        <v>4.9099713146380148</v>
      </c>
      <c r="G690" s="306">
        <f t="shared" ca="1" si="301"/>
        <v>10.117214288047032</v>
      </c>
      <c r="H690" s="307">
        <f t="shared" ca="1" si="302"/>
        <v>-108.99168965214128</v>
      </c>
      <c r="I690" s="304">
        <f t="shared" ca="1" si="303"/>
        <v>109.46025049386166</v>
      </c>
      <c r="J690" s="306">
        <f t="shared" ca="1" si="304"/>
        <v>497.15290218498126</v>
      </c>
      <c r="K690" s="307">
        <f t="shared" ca="1" si="305"/>
        <v>1092.8248772872055</v>
      </c>
      <c r="L690" s="304">
        <f t="shared" ca="1" si="290"/>
        <v>1200.5945279605207</v>
      </c>
      <c r="M690" s="306">
        <f t="shared" ca="1" si="306"/>
        <v>-1.4782360130280712</v>
      </c>
      <c r="N690" s="304">
        <f t="shared" ca="1" si="307"/>
        <v>-84.696684670754252</v>
      </c>
      <c r="P690" s="310">
        <f t="shared" ca="1" si="308"/>
        <v>23</v>
      </c>
      <c r="Q690" s="304">
        <f t="shared" ca="1" si="309"/>
        <v>0</v>
      </c>
      <c r="R690" s="306">
        <f t="shared" ca="1" si="310"/>
        <v>0</v>
      </c>
      <c r="S690" s="307">
        <f t="shared" ca="1" si="311"/>
        <v>6.1519999999999921</v>
      </c>
      <c r="T690" s="304">
        <f t="shared" ca="1" si="291"/>
        <v>60.351119999999923</v>
      </c>
      <c r="U690" s="311">
        <f t="shared" ca="1" si="292"/>
        <v>0</v>
      </c>
      <c r="V690" s="306">
        <f t="shared" ca="1" si="293"/>
        <v>1.0980648471729024</v>
      </c>
      <c r="W690" s="304">
        <f t="shared" ca="1" si="294"/>
        <v>30.714289816046929</v>
      </c>
      <c r="Y690" s="314" t="str">
        <f t="shared" ca="1" si="312"/>
        <v/>
      </c>
      <c r="Z690" s="315" t="str">
        <f t="shared" ca="1" si="313"/>
        <v/>
      </c>
      <c r="AA690" s="316" t="str">
        <f t="shared" ca="1" si="314"/>
        <v/>
      </c>
      <c r="AC690" s="310" t="e">
        <f t="shared" ca="1" si="315"/>
        <v>#N/A</v>
      </c>
      <c r="AD690" s="323" t="e">
        <f t="shared" ca="1" si="316"/>
        <v>#N/A</v>
      </c>
      <c r="AE690" s="324" t="e">
        <f t="shared" ca="1" si="295"/>
        <v>#N/A</v>
      </c>
      <c r="AG690" s="306">
        <f t="shared" ca="1" si="317"/>
        <v>4.8239822222647897</v>
      </c>
      <c r="AH690" s="304">
        <f t="shared" ca="1" si="318"/>
        <v>-4.9432633551822418</v>
      </c>
    </row>
    <row r="691" spans="1:34" x14ac:dyDescent="0.2">
      <c r="A691" s="347">
        <f t="shared" ca="1" si="296"/>
        <v>0.1</v>
      </c>
      <c r="B691" s="304">
        <f t="shared" ca="1" si="297"/>
        <v>32.700000000000152</v>
      </c>
      <c r="D691" s="306">
        <f t="shared" ca="1" si="298"/>
        <v>-0.46145426266755346</v>
      </c>
      <c r="E691" s="307">
        <f t="shared" ca="1" si="299"/>
        <v>-4.8388015699400286</v>
      </c>
      <c r="F691" s="304">
        <f t="shared" ca="1" si="300"/>
        <v>4.8607551542726508</v>
      </c>
      <c r="G691" s="306">
        <f t="shared" ca="1" si="301"/>
        <v>10.071068861780276</v>
      </c>
      <c r="H691" s="307">
        <f t="shared" ca="1" si="302"/>
        <v>-109.47556980913528</v>
      </c>
      <c r="I691" s="304">
        <f t="shared" ca="1" si="303"/>
        <v>109.93783158246106</v>
      </c>
      <c r="J691" s="306">
        <f t="shared" ca="1" si="304"/>
        <v>498.16231634247265</v>
      </c>
      <c r="K691" s="307">
        <f t="shared" ca="1" si="305"/>
        <v>1081.9015143141417</v>
      </c>
      <c r="L691" s="304">
        <f t="shared" ca="1" si="290"/>
        <v>1191.0821046841945</v>
      </c>
      <c r="M691" s="306">
        <f t="shared" ca="1" si="306"/>
        <v>-1.4790607707700678</v>
      </c>
      <c r="N691" s="304">
        <f t="shared" ca="1" si="307"/>
        <v>-84.743939808491405</v>
      </c>
      <c r="P691" s="310">
        <f t="shared" ca="1" si="308"/>
        <v>23</v>
      </c>
      <c r="Q691" s="304">
        <f t="shared" ca="1" si="309"/>
        <v>0</v>
      </c>
      <c r="R691" s="306">
        <f t="shared" ca="1" si="310"/>
        <v>0</v>
      </c>
      <c r="S691" s="307">
        <f t="shared" ca="1" si="311"/>
        <v>6.1519999999999921</v>
      </c>
      <c r="T691" s="304">
        <f t="shared" ca="1" si="291"/>
        <v>60.351119999999923</v>
      </c>
      <c r="U691" s="311">
        <f t="shared" ca="1" si="292"/>
        <v>0</v>
      </c>
      <c r="V691" s="306">
        <f t="shared" ca="1" si="293"/>
        <v>1.0992685185076922</v>
      </c>
      <c r="W691" s="304">
        <f t="shared" ca="1" si="294"/>
        <v>31.016853442954567</v>
      </c>
      <c r="Y691" s="314" t="str">
        <f t="shared" ca="1" si="312"/>
        <v/>
      </c>
      <c r="Z691" s="315" t="str">
        <f t="shared" ca="1" si="313"/>
        <v/>
      </c>
      <c r="AA691" s="316" t="str">
        <f t="shared" ca="1" si="314"/>
        <v/>
      </c>
      <c r="AC691" s="310" t="e">
        <f t="shared" ca="1" si="315"/>
        <v>#N/A</v>
      </c>
      <c r="AD691" s="323" t="e">
        <f t="shared" ca="1" si="316"/>
        <v>#N/A</v>
      </c>
      <c r="AE691" s="324" t="e">
        <f t="shared" ca="1" si="295"/>
        <v>#N/A</v>
      </c>
      <c r="AG691" s="306">
        <f t="shared" ca="1" si="317"/>
        <v>4.7754369735246529</v>
      </c>
      <c r="AH691" s="304">
        <f t="shared" ca="1" si="318"/>
        <v>-4.9925698660674529</v>
      </c>
    </row>
    <row r="692" spans="1:34" x14ac:dyDescent="0.2">
      <c r="A692" s="347">
        <f t="shared" ca="1" si="296"/>
        <v>0.1</v>
      </c>
      <c r="B692" s="304">
        <f t="shared" ca="1" si="297"/>
        <v>32.800000000000153</v>
      </c>
      <c r="D692" s="306">
        <f t="shared" ca="1" si="298"/>
        <v>-0.46185942443487499</v>
      </c>
      <c r="E692" s="307">
        <f t="shared" ca="1" si="299"/>
        <v>-4.7894481245569418</v>
      </c>
      <c r="F692" s="304">
        <f t="shared" ca="1" si="300"/>
        <v>4.8116657682928601</v>
      </c>
      <c r="G692" s="306">
        <f t="shared" ca="1" si="301"/>
        <v>10.024882919336788</v>
      </c>
      <c r="H692" s="307">
        <f t="shared" ca="1" si="302"/>
        <v>-109.95451462159097</v>
      </c>
      <c r="I692" s="304">
        <f t="shared" ca="1" si="303"/>
        <v>110.41056816816076</v>
      </c>
      <c r="J692" s="306">
        <f t="shared" ca="1" si="304"/>
        <v>499.16711393152849</v>
      </c>
      <c r="K692" s="307">
        <f t="shared" ca="1" si="305"/>
        <v>1070.9300100926052</v>
      </c>
      <c r="L692" s="304">
        <f t="shared" ca="1" si="290"/>
        <v>1181.5493617059251</v>
      </c>
      <c r="M692" s="306">
        <f t="shared" ca="1" si="306"/>
        <v>-1.4798747003077561</v>
      </c>
      <c r="N692" s="304">
        <f t="shared" ca="1" si="307"/>
        <v>-84.790574535821975</v>
      </c>
      <c r="P692" s="310">
        <f t="shared" ca="1" si="308"/>
        <v>23</v>
      </c>
      <c r="Q692" s="304">
        <f t="shared" ca="1" si="309"/>
        <v>0</v>
      </c>
      <c r="R692" s="306">
        <f t="shared" ca="1" si="310"/>
        <v>0</v>
      </c>
      <c r="S692" s="307">
        <f t="shared" ca="1" si="311"/>
        <v>6.1519999999999921</v>
      </c>
      <c r="T692" s="304">
        <f t="shared" ca="1" si="291"/>
        <v>60.351119999999923</v>
      </c>
      <c r="U692" s="311">
        <f t="shared" ca="1" si="292"/>
        <v>0</v>
      </c>
      <c r="V692" s="306">
        <f t="shared" ca="1" si="293"/>
        <v>1.1004787508918621</v>
      </c>
      <c r="W692" s="304">
        <f t="shared" ca="1" si="294"/>
        <v>31.318616203846972</v>
      </c>
      <c r="Y692" s="314" t="str">
        <f t="shared" ca="1" si="312"/>
        <v/>
      </c>
      <c r="Z692" s="315" t="str">
        <f t="shared" ca="1" si="313"/>
        <v/>
      </c>
      <c r="AA692" s="316" t="str">
        <f t="shared" ca="1" si="314"/>
        <v/>
      </c>
      <c r="AC692" s="310" t="e">
        <f t="shared" ca="1" si="315"/>
        <v>#N/A</v>
      </c>
      <c r="AD692" s="323" t="e">
        <f t="shared" ca="1" si="316"/>
        <v>#N/A</v>
      </c>
      <c r="AE692" s="324" t="e">
        <f t="shared" ca="1" si="295"/>
        <v>#N/A</v>
      </c>
      <c r="AG692" s="306">
        <f t="shared" ca="1" si="317"/>
        <v>4.727000132337758</v>
      </c>
      <c r="AH692" s="304">
        <f t="shared" ca="1" si="318"/>
        <v>-5.0417512098430768</v>
      </c>
    </row>
    <row r="693" spans="1:34" x14ac:dyDescent="0.2">
      <c r="A693" s="347">
        <f t="shared" ca="1" si="296"/>
        <v>0.1</v>
      </c>
      <c r="B693" s="304">
        <f t="shared" ca="1" si="297"/>
        <v>32.900000000000155</v>
      </c>
      <c r="D693" s="306">
        <f t="shared" ca="1" si="298"/>
        <v>-0.46222656589786093</v>
      </c>
      <c r="E693" s="307">
        <f t="shared" ca="1" si="299"/>
        <v>-4.7402253096172347</v>
      </c>
      <c r="F693" s="304">
        <f t="shared" ca="1" si="300"/>
        <v>4.7627081985103326</v>
      </c>
      <c r="G693" s="306">
        <f t="shared" ca="1" si="301"/>
        <v>9.9786602627470025</v>
      </c>
      <c r="H693" s="307">
        <f t="shared" ca="1" si="302"/>
        <v>-110.42853715255269</v>
      </c>
      <c r="I693" s="304">
        <f t="shared" ca="1" si="303"/>
        <v>110.87847166286176</v>
      </c>
      <c r="J693" s="306">
        <f t="shared" ca="1" si="304"/>
        <v>500.16729109063266</v>
      </c>
      <c r="K693" s="307">
        <f t="shared" ca="1" si="305"/>
        <v>1059.9108575038981</v>
      </c>
      <c r="L693" s="304">
        <f t="shared" ca="1" si="290"/>
        <v>1171.9975874256697</v>
      </c>
      <c r="M693" s="306">
        <f t="shared" ca="1" si="306"/>
        <v>-1.4806780238368487</v>
      </c>
      <c r="N693" s="304">
        <f t="shared" ca="1" si="307"/>
        <v>-84.836601583622539</v>
      </c>
      <c r="P693" s="310">
        <f t="shared" ca="1" si="308"/>
        <v>23</v>
      </c>
      <c r="Q693" s="304">
        <f t="shared" ca="1" si="309"/>
        <v>0</v>
      </c>
      <c r="R693" s="306">
        <f t="shared" ca="1" si="310"/>
        <v>0</v>
      </c>
      <c r="S693" s="307">
        <f t="shared" ca="1" si="311"/>
        <v>6.1519999999999921</v>
      </c>
      <c r="T693" s="304">
        <f t="shared" ca="1" si="291"/>
        <v>60.351119999999923</v>
      </c>
      <c r="U693" s="311">
        <f t="shared" ca="1" si="292"/>
        <v>0</v>
      </c>
      <c r="V693" s="306">
        <f t="shared" ca="1" si="293"/>
        <v>1.1016955084257023</v>
      </c>
      <c r="W693" s="304">
        <f t="shared" ca="1" si="294"/>
        <v>31.619547821428597</v>
      </c>
      <c r="Y693" s="314" t="str">
        <f t="shared" ca="1" si="312"/>
        <v/>
      </c>
      <c r="Z693" s="315" t="str">
        <f t="shared" ca="1" si="313"/>
        <v/>
      </c>
      <c r="AA693" s="316" t="str">
        <f t="shared" ca="1" si="314"/>
        <v/>
      </c>
      <c r="AC693" s="310" t="e">
        <f t="shared" ca="1" si="315"/>
        <v>#N/A</v>
      </c>
      <c r="AD693" s="323" t="e">
        <f t="shared" ca="1" si="316"/>
        <v>#N/A</v>
      </c>
      <c r="AE693" s="324" t="e">
        <f t="shared" ca="1" si="295"/>
        <v>#N/A</v>
      </c>
      <c r="AG693" s="306">
        <f t="shared" ca="1" si="317"/>
        <v>4.6786771817335522</v>
      </c>
      <c r="AH693" s="304">
        <f t="shared" ca="1" si="318"/>
        <v>-5.090802373837291</v>
      </c>
    </row>
    <row r="694" spans="1:34" x14ac:dyDescent="0.2">
      <c r="A694" s="347">
        <f t="shared" ca="1" si="296"/>
        <v>0.1</v>
      </c>
      <c r="B694" s="304">
        <f t="shared" ca="1" si="297"/>
        <v>33.000000000000156</v>
      </c>
      <c r="D694" s="306">
        <f t="shared" ca="1" si="298"/>
        <v>-0.46255601610461217</v>
      </c>
      <c r="E694" s="307">
        <f t="shared" ca="1" si="299"/>
        <v>-4.6911380621667309</v>
      </c>
      <c r="F694" s="304">
        <f t="shared" ca="1" si="300"/>
        <v>4.713887396442983</v>
      </c>
      <c r="G694" s="306">
        <f t="shared" ca="1" si="301"/>
        <v>9.9324046611365411</v>
      </c>
      <c r="H694" s="307">
        <f t="shared" ca="1" si="302"/>
        <v>-110.89765095876936</v>
      </c>
      <c r="I694" s="304">
        <f t="shared" ca="1" si="303"/>
        <v>111.34155401522652</v>
      </c>
      <c r="J694" s="306">
        <f t="shared" ca="1" si="304"/>
        <v>501.16284433682682</v>
      </c>
      <c r="K694" s="307">
        <f t="shared" ca="1" si="305"/>
        <v>1048.8445480983321</v>
      </c>
      <c r="L694" s="304">
        <f t="shared" ca="1" si="290"/>
        <v>1162.4280978277206</v>
      </c>
      <c r="M694" s="306">
        <f t="shared" ca="1" si="306"/>
        <v>-1.4814709573617475</v>
      </c>
      <c r="N694" s="304">
        <f t="shared" ca="1" si="307"/>
        <v>-84.882033328033671</v>
      </c>
      <c r="P694" s="310">
        <f t="shared" ca="1" si="308"/>
        <v>23</v>
      </c>
      <c r="Q694" s="304">
        <f t="shared" ca="1" si="309"/>
        <v>0</v>
      </c>
      <c r="R694" s="306">
        <f t="shared" ca="1" si="310"/>
        <v>0</v>
      </c>
      <c r="S694" s="307">
        <f t="shared" ca="1" si="311"/>
        <v>6.1519999999999921</v>
      </c>
      <c r="T694" s="304">
        <f t="shared" ca="1" si="291"/>
        <v>60.351119999999923</v>
      </c>
      <c r="U694" s="311">
        <f t="shared" ca="1" si="292"/>
        <v>0</v>
      </c>
      <c r="V694" s="306">
        <f t="shared" ca="1" si="293"/>
        <v>1.1029187552566599</v>
      </c>
      <c r="W694" s="304">
        <f t="shared" ca="1" si="294"/>
        <v>31.919618579993834</v>
      </c>
      <c r="Y694" s="314" t="str">
        <f t="shared" ca="1" si="312"/>
        <v/>
      </c>
      <c r="Z694" s="315" t="str">
        <f t="shared" ca="1" si="313"/>
        <v/>
      </c>
      <c r="AA694" s="316" t="str">
        <f t="shared" ca="1" si="314"/>
        <v/>
      </c>
      <c r="AC694" s="310">
        <f t="shared" ca="1" si="315"/>
        <v>33.000000000000156</v>
      </c>
      <c r="AD694" s="323">
        <f t="shared" ca="1" si="316"/>
        <v>501.16284433682682</v>
      </c>
      <c r="AE694" s="324" t="e">
        <f t="shared" ca="1" si="295"/>
        <v>#N/A</v>
      </c>
      <c r="AG694" s="306">
        <f t="shared" ca="1" si="317"/>
        <v>4.6304734972325834</v>
      </c>
      <c r="AH694" s="304">
        <f t="shared" ca="1" si="318"/>
        <v>-5.1397184365131077</v>
      </c>
    </row>
    <row r="695" spans="1:34" x14ac:dyDescent="0.2">
      <c r="A695" s="347">
        <f t="shared" ca="1" si="296"/>
        <v>0.1</v>
      </c>
      <c r="B695" s="304">
        <f t="shared" ca="1" si="297"/>
        <v>33.100000000000158</v>
      </c>
      <c r="D695" s="306">
        <f t="shared" ca="1" si="298"/>
        <v>-0.4628481080895992</v>
      </c>
      <c r="E695" s="307">
        <f t="shared" ca="1" si="299"/>
        <v>-4.6421912277007804</v>
      </c>
      <c r="F695" s="304">
        <f t="shared" ca="1" si="300"/>
        <v>4.6652082231883503</v>
      </c>
      <c r="G695" s="306">
        <f t="shared" ca="1" si="301"/>
        <v>9.8861198503275816</v>
      </c>
      <c r="H695" s="307">
        <f t="shared" ca="1" si="302"/>
        <v>-111.36187008153944</v>
      </c>
      <c r="I695" s="304">
        <f t="shared" ca="1" si="303"/>
        <v>111.79982770001352</v>
      </c>
      <c r="J695" s="306">
        <f t="shared" ca="1" si="304"/>
        <v>502.15377056240004</v>
      </c>
      <c r="K695" s="307">
        <f t="shared" ca="1" si="305"/>
        <v>1037.7315720463166</v>
      </c>
      <c r="L695" s="304">
        <f t="shared" ca="1" si="290"/>
        <v>1152.8422376508224</v>
      </c>
      <c r="M695" s="306">
        <f t="shared" ca="1" si="306"/>
        <v>-1.4822537109082576</v>
      </c>
      <c r="N695" s="304">
        <f t="shared" ca="1" si="307"/>
        <v>-84.9268818026476</v>
      </c>
      <c r="P695" s="310">
        <f t="shared" ca="1" si="308"/>
        <v>23</v>
      </c>
      <c r="Q695" s="304">
        <f t="shared" ca="1" si="309"/>
        <v>0</v>
      </c>
      <c r="R695" s="306">
        <f t="shared" ca="1" si="310"/>
        <v>0</v>
      </c>
      <c r="S695" s="307">
        <f t="shared" ca="1" si="311"/>
        <v>6.1519999999999921</v>
      </c>
      <c r="T695" s="304">
        <f t="shared" ca="1" si="291"/>
        <v>60.351119999999923</v>
      </c>
      <c r="U695" s="311">
        <f t="shared" ca="1" si="292"/>
        <v>0</v>
      </c>
      <c r="V695" s="306">
        <f t="shared" ca="1" si="293"/>
        <v>1.1041484555829337</v>
      </c>
      <c r="W695" s="304">
        <f t="shared" ca="1" si="294"/>
        <v>32.218799326110627</v>
      </c>
      <c r="Y695" s="314" t="str">
        <f t="shared" ca="1" si="312"/>
        <v/>
      </c>
      <c r="Z695" s="315" t="str">
        <f t="shared" ca="1" si="313"/>
        <v/>
      </c>
      <c r="AA695" s="316" t="str">
        <f t="shared" ca="1" si="314"/>
        <v/>
      </c>
      <c r="AC695" s="310" t="e">
        <f t="shared" ca="1" si="315"/>
        <v>#N/A</v>
      </c>
      <c r="AD695" s="323" t="e">
        <f t="shared" ca="1" si="316"/>
        <v>#N/A</v>
      </c>
      <c r="AE695" s="324" t="e">
        <f t="shared" ca="1" si="295"/>
        <v>#N/A</v>
      </c>
      <c r="AG695" s="306">
        <f t="shared" ca="1" si="317"/>
        <v>4.5823943473742155</v>
      </c>
      <c r="AH695" s="304">
        <f t="shared" ca="1" si="318"/>
        <v>-5.1884945676192906</v>
      </c>
    </row>
    <row r="696" spans="1:34" x14ac:dyDescent="0.2">
      <c r="A696" s="347">
        <f t="shared" ca="1" si="296"/>
        <v>0.1</v>
      </c>
      <c r="B696" s="304">
        <f t="shared" ca="1" si="297"/>
        <v>33.200000000000159</v>
      </c>
      <c r="D696" s="306">
        <f t="shared" ca="1" si="298"/>
        <v>-0.46310317870956991</v>
      </c>
      <c r="E696" s="307">
        <f t="shared" ca="1" si="299"/>
        <v>-4.5933895600512917</v>
      </c>
      <c r="F696" s="304">
        <f t="shared" ca="1" si="300"/>
        <v>4.6166754493378797</v>
      </c>
      <c r="G696" s="306">
        <f t="shared" ca="1" si="301"/>
        <v>9.8398095324566253</v>
      </c>
      <c r="H696" s="307">
        <f t="shared" ca="1" si="302"/>
        <v>-111.82120903754456</v>
      </c>
      <c r="I696" s="304">
        <f t="shared" ca="1" si="303"/>
        <v>112.25330570746353</v>
      </c>
      <c r="J696" s="306">
        <f t="shared" ca="1" si="304"/>
        <v>503.14006703153927</v>
      </c>
      <c r="K696" s="307">
        <f t="shared" ca="1" si="305"/>
        <v>1026.5724180903624</v>
      </c>
      <c r="L696" s="304">
        <f t="shared" ca="1" si="290"/>
        <v>1143.2413816147471</v>
      </c>
      <c r="M696" s="306">
        <f t="shared" ca="1" si="306"/>
        <v>-1.4830264887276361</v>
      </c>
      <c r="N696" s="304">
        <f t="shared" ca="1" si="307"/>
        <v>-84.971158710199305</v>
      </c>
      <c r="P696" s="310">
        <f t="shared" ca="1" si="308"/>
        <v>23</v>
      </c>
      <c r="Q696" s="304">
        <f t="shared" ca="1" si="309"/>
        <v>0</v>
      </c>
      <c r="R696" s="306">
        <f t="shared" ca="1" si="310"/>
        <v>0</v>
      </c>
      <c r="S696" s="307">
        <f t="shared" ca="1" si="311"/>
        <v>6.1519999999999921</v>
      </c>
      <c r="T696" s="304">
        <f t="shared" ca="1" si="291"/>
        <v>60.351119999999923</v>
      </c>
      <c r="U696" s="311">
        <f t="shared" ca="1" si="292"/>
        <v>0</v>
      </c>
      <c r="V696" s="306">
        <f t="shared" ca="1" si="293"/>
        <v>1.1053845736570216</v>
      </c>
      <c r="W696" s="304">
        <f t="shared" ca="1" si="294"/>
        <v>32.517061469063393</v>
      </c>
      <c r="Y696" s="314" t="str">
        <f t="shared" ca="1" si="312"/>
        <v/>
      </c>
      <c r="Z696" s="315" t="str">
        <f t="shared" ca="1" si="313"/>
        <v/>
      </c>
      <c r="AA696" s="316" t="str">
        <f t="shared" ca="1" si="314"/>
        <v/>
      </c>
      <c r="AC696" s="310" t="e">
        <f t="shared" ca="1" si="315"/>
        <v>#N/A</v>
      </c>
      <c r="AD696" s="323" t="e">
        <f t="shared" ca="1" si="316"/>
        <v>#N/A</v>
      </c>
      <c r="AE696" s="324" t="e">
        <f t="shared" ca="1" si="295"/>
        <v>#N/A</v>
      </c>
      <c r="AG696" s="306">
        <f t="shared" ca="1" si="317"/>
        <v>4.5344448942516555</v>
      </c>
      <c r="AH696" s="304">
        <f t="shared" ca="1" si="318"/>
        <v>-5.237126028301474</v>
      </c>
    </row>
    <row r="697" spans="1:34" x14ac:dyDescent="0.2">
      <c r="A697" s="347">
        <f t="shared" ca="1" si="296"/>
        <v>0.1</v>
      </c>
      <c r="B697" s="304">
        <f t="shared" ca="1" si="297"/>
        <v>33.300000000000161</v>
      </c>
      <c r="D697" s="306">
        <f t="shared" ca="1" si="298"/>
        <v>-0.46332156848091938</v>
      </c>
      <c r="E697" s="307">
        <f t="shared" ca="1" si="299"/>
        <v>-4.5447377213130755</v>
      </c>
      <c r="F697" s="304">
        <f t="shared" ca="1" si="300"/>
        <v>4.5682937549314389</v>
      </c>
      <c r="G697" s="306">
        <f t="shared" ca="1" si="301"/>
        <v>9.7934773756085338</v>
      </c>
      <c r="H697" s="307">
        <f t="shared" ca="1" si="302"/>
        <v>-112.27568280967587</v>
      </c>
      <c r="I697" s="304">
        <f t="shared" ca="1" si="303"/>
        <v>112.70200153273899</v>
      </c>
      <c r="J697" s="306">
        <f t="shared" ca="1" si="304"/>
        <v>504.12173137694253</v>
      </c>
      <c r="K697" s="307">
        <f t="shared" ca="1" si="305"/>
        <v>1015.3675734980013</v>
      </c>
      <c r="L697" s="304">
        <f t="shared" ca="1" si="290"/>
        <v>1133.6269357057927</v>
      </c>
      <c r="M697" s="306">
        <f t="shared" ca="1" si="306"/>
        <v>-1.4837894894923875</v>
      </c>
      <c r="N697" s="304">
        <f t="shared" ca="1" si="307"/>
        <v>-85.014875433784823</v>
      </c>
      <c r="P697" s="310">
        <f t="shared" ca="1" si="308"/>
        <v>23</v>
      </c>
      <c r="Q697" s="304">
        <f t="shared" ca="1" si="309"/>
        <v>0</v>
      </c>
      <c r="R697" s="306">
        <f t="shared" ca="1" si="310"/>
        <v>0</v>
      </c>
      <c r="S697" s="307">
        <f t="shared" ca="1" si="311"/>
        <v>6.1519999999999921</v>
      </c>
      <c r="T697" s="304">
        <f t="shared" ca="1" si="291"/>
        <v>60.351119999999923</v>
      </c>
      <c r="U697" s="311">
        <f t="shared" ca="1" si="292"/>
        <v>0</v>
      </c>
      <c r="V697" s="306">
        <f t="shared" ca="1" si="293"/>
        <v>1.1066270737892197</v>
      </c>
      <c r="W697" s="304">
        <f t="shared" ca="1" si="294"/>
        <v>32.814376981059638</v>
      </c>
      <c r="Y697" s="314" t="str">
        <f t="shared" ca="1" si="312"/>
        <v/>
      </c>
      <c r="Z697" s="315" t="str">
        <f t="shared" ca="1" si="313"/>
        <v/>
      </c>
      <c r="AA697" s="316" t="str">
        <f t="shared" ca="1" si="314"/>
        <v/>
      </c>
      <c r="AC697" s="310" t="e">
        <f t="shared" ca="1" si="315"/>
        <v>#N/A</v>
      </c>
      <c r="AD697" s="323" t="e">
        <f t="shared" ca="1" si="316"/>
        <v>#N/A</v>
      </c>
      <c r="AE697" s="324" t="e">
        <f t="shared" ca="1" si="295"/>
        <v>#N/A</v>
      </c>
      <c r="AG697" s="306">
        <f t="shared" ca="1" si="317"/>
        <v>4.4866301940553539</v>
      </c>
      <c r="AH697" s="304">
        <f t="shared" ca="1" si="318"/>
        <v>-5.28560817117416</v>
      </c>
    </row>
    <row r="698" spans="1:34" x14ac:dyDescent="0.2">
      <c r="A698" s="347">
        <f t="shared" ca="1" si="296"/>
        <v>0.1</v>
      </c>
      <c r="B698" s="304">
        <f t="shared" ca="1" si="297"/>
        <v>33.400000000000162</v>
      </c>
      <c r="D698" s="306">
        <f t="shared" ca="1" si="298"/>
        <v>-0.46350362141855289</v>
      </c>
      <c r="E698" s="307">
        <f t="shared" ca="1" si="299"/>
        <v>-4.4962402818087996</v>
      </c>
      <c r="F698" s="304">
        <f t="shared" ca="1" si="300"/>
        <v>4.5200677294514282</v>
      </c>
      <c r="G698" s="306">
        <f t="shared" ca="1" si="301"/>
        <v>9.7471270134666792</v>
      </c>
      <c r="H698" s="307">
        <f t="shared" ca="1" si="302"/>
        <v>-112.72530683785675</v>
      </c>
      <c r="I698" s="304">
        <f t="shared" ca="1" si="303"/>
        <v>113.1459291654172</v>
      </c>
      <c r="J698" s="306">
        <f t="shared" ca="1" si="304"/>
        <v>505.09876159639629</v>
      </c>
      <c r="K698" s="307">
        <f t="shared" ca="1" si="305"/>
        <v>1004.1175240156247</v>
      </c>
      <c r="L698" s="304">
        <f t="shared" ca="1" si="290"/>
        <v>1124.0003385237399</v>
      </c>
      <c r="M698" s="306">
        <f t="shared" ca="1" si="306"/>
        <v>-1.4845429064841902</v>
      </c>
      <c r="N698" s="304">
        <f t="shared" ca="1" si="307"/>
        <v>-85.058043047628544</v>
      </c>
      <c r="P698" s="310">
        <f t="shared" ca="1" si="308"/>
        <v>23</v>
      </c>
      <c r="Q698" s="304">
        <f t="shared" ca="1" si="309"/>
        <v>0</v>
      </c>
      <c r="R698" s="306">
        <f t="shared" ca="1" si="310"/>
        <v>0</v>
      </c>
      <c r="S698" s="307">
        <f t="shared" ca="1" si="311"/>
        <v>6.1519999999999921</v>
      </c>
      <c r="T698" s="304">
        <f t="shared" ca="1" si="291"/>
        <v>60.351119999999923</v>
      </c>
      <c r="U698" s="311">
        <f t="shared" ca="1" si="292"/>
        <v>0</v>
      </c>
      <c r="V698" s="306">
        <f t="shared" ca="1" si="293"/>
        <v>1.1078759203510704</v>
      </c>
      <c r="W698" s="304">
        <f t="shared" ca="1" si="294"/>
        <v>33.110718397204217</v>
      </c>
      <c r="Y698" s="314" t="str">
        <f t="shared" ca="1" si="312"/>
        <v/>
      </c>
      <c r="Z698" s="315" t="str">
        <f t="shared" ca="1" si="313"/>
        <v/>
      </c>
      <c r="AA698" s="316" t="str">
        <f t="shared" ca="1" si="314"/>
        <v/>
      </c>
      <c r="AC698" s="310" t="e">
        <f t="shared" ca="1" si="315"/>
        <v>#N/A</v>
      </c>
      <c r="AD698" s="323" t="e">
        <f t="shared" ca="1" si="316"/>
        <v>#N/A</v>
      </c>
      <c r="AE698" s="324" t="e">
        <f t="shared" ca="1" si="295"/>
        <v>#N/A</v>
      </c>
      <c r="AG698" s="306">
        <f t="shared" ca="1" si="317"/>
        <v>4.4389551976257513</v>
      </c>
      <c r="AH698" s="304">
        <f t="shared" ca="1" si="318"/>
        <v>-5.3339364403543046</v>
      </c>
    </row>
    <row r="699" spans="1:34" x14ac:dyDescent="0.2">
      <c r="A699" s="347">
        <f t="shared" ca="1" si="296"/>
        <v>0.1</v>
      </c>
      <c r="B699" s="304">
        <f t="shared" ca="1" si="297"/>
        <v>33.500000000000163</v>
      </c>
      <c r="D699" s="306">
        <f t="shared" ca="1" si="298"/>
        <v>-0.46364968487629166</v>
      </c>
      <c r="E699" s="307">
        <f t="shared" ca="1" si="299"/>
        <v>-4.4479017200918873</v>
      </c>
      <c r="F699" s="304">
        <f t="shared" ca="1" si="300"/>
        <v>4.472001871855853</v>
      </c>
      <c r="G699" s="306">
        <f t="shared" ca="1" si="301"/>
        <v>9.7007620449790508</v>
      </c>
      <c r="H699" s="307">
        <f t="shared" ca="1" si="302"/>
        <v>-113.17009700986594</v>
      </c>
      <c r="I699" s="304">
        <f t="shared" ca="1" si="303"/>
        <v>113.58510307903838</v>
      </c>
      <c r="J699" s="306">
        <f t="shared" ca="1" si="304"/>
        <v>506.07115604931857</v>
      </c>
      <c r="K699" s="307">
        <f t="shared" ca="1" si="305"/>
        <v>992.82275382323849</v>
      </c>
      <c r="L699" s="304">
        <f t="shared" ca="1" si="290"/>
        <v>1114.3630626928787</v>
      </c>
      <c r="M699" s="306">
        <f t="shared" ca="1" si="306"/>
        <v>-1.4852869277743168</v>
      </c>
      <c r="N699" s="304">
        <f t="shared" ca="1" si="307"/>
        <v>-85.100672327420682</v>
      </c>
      <c r="P699" s="310">
        <f t="shared" ca="1" si="308"/>
        <v>23</v>
      </c>
      <c r="Q699" s="304">
        <f t="shared" ca="1" si="309"/>
        <v>0</v>
      </c>
      <c r="R699" s="306">
        <f t="shared" ca="1" si="310"/>
        <v>0</v>
      </c>
      <c r="S699" s="307">
        <f t="shared" ca="1" si="311"/>
        <v>6.1519999999999921</v>
      </c>
      <c r="T699" s="304">
        <f t="shared" ca="1" si="291"/>
        <v>60.351119999999923</v>
      </c>
      <c r="U699" s="311">
        <f t="shared" ca="1" si="292"/>
        <v>0</v>
      </c>
      <c r="V699" s="306">
        <f t="shared" ca="1" si="293"/>
        <v>1.1091310777787644</v>
      </c>
      <c r="W699" s="304">
        <f t="shared" ca="1" si="294"/>
        <v>33.406058815245856</v>
      </c>
      <c r="Y699" s="314" t="str">
        <f t="shared" ca="1" si="312"/>
        <v/>
      </c>
      <c r="Z699" s="315" t="str">
        <f t="shared" ca="1" si="313"/>
        <v/>
      </c>
      <c r="AA699" s="316" t="str">
        <f t="shared" ca="1" si="314"/>
        <v/>
      </c>
      <c r="AC699" s="310" t="e">
        <f t="shared" ca="1" si="315"/>
        <v>#N/A</v>
      </c>
      <c r="AD699" s="323" t="e">
        <f t="shared" ca="1" si="316"/>
        <v>#N/A</v>
      </c>
      <c r="AE699" s="324" t="e">
        <f t="shared" ca="1" si="295"/>
        <v>#N/A</v>
      </c>
      <c r="AG699" s="306">
        <f t="shared" ca="1" si="317"/>
        <v>4.3914247510162623</v>
      </c>
      <c r="AH699" s="304">
        <f t="shared" ca="1" si="318"/>
        <v>-5.3821063714571293</v>
      </c>
    </row>
    <row r="700" spans="1:34" x14ac:dyDescent="0.2">
      <c r="A700" s="347">
        <f t="shared" ca="1" si="296"/>
        <v>0.1</v>
      </c>
      <c r="B700" s="304">
        <f t="shared" ca="1" si="297"/>
        <v>33.600000000000165</v>
      </c>
      <c r="D700" s="306">
        <f t="shared" ca="1" si="298"/>
        <v>-0.4637601093888693</v>
      </c>
      <c r="E700" s="307">
        <f t="shared" ca="1" si="299"/>
        <v>-4.3997264229866202</v>
      </c>
      <c r="F700" s="304">
        <f t="shared" ca="1" si="300"/>
        <v>4.4241005906496991</v>
      </c>
      <c r="G700" s="306">
        <f t="shared" ca="1" si="301"/>
        <v>9.6543860340401633</v>
      </c>
      <c r="H700" s="307">
        <f t="shared" ca="1" si="302"/>
        <v>-113.6100696521646</v>
      </c>
      <c r="I700" s="304">
        <f t="shared" ca="1" si="303"/>
        <v>114.01953822071006</v>
      </c>
      <c r="J700" s="306">
        <f t="shared" ca="1" si="304"/>
        <v>507.03891345326952</v>
      </c>
      <c r="K700" s="307">
        <f t="shared" ca="1" si="305"/>
        <v>981.48374549013693</v>
      </c>
      <c r="L700" s="304">
        <f t="shared" ca="1" si="290"/>
        <v>1104.7166163397833</v>
      </c>
      <c r="M700" s="306">
        <f t="shared" ca="1" si="306"/>
        <v>-1.4860217363968984</v>
      </c>
      <c r="N700" s="304">
        <f t="shared" ca="1" si="307"/>
        <v>-85.142773760244424</v>
      </c>
      <c r="P700" s="310">
        <f t="shared" ca="1" si="308"/>
        <v>23</v>
      </c>
      <c r="Q700" s="304">
        <f t="shared" ca="1" si="309"/>
        <v>0</v>
      </c>
      <c r="R700" s="306">
        <f t="shared" ca="1" si="310"/>
        <v>0</v>
      </c>
      <c r="S700" s="307">
        <f t="shared" ca="1" si="311"/>
        <v>6.1519999999999921</v>
      </c>
      <c r="T700" s="304">
        <f t="shared" ca="1" si="291"/>
        <v>60.351119999999923</v>
      </c>
      <c r="U700" s="311">
        <f t="shared" ca="1" si="292"/>
        <v>0</v>
      </c>
      <c r="V700" s="306">
        <f t="shared" ca="1" si="293"/>
        <v>1.1103925105764889</v>
      </c>
      <c r="W700" s="304">
        <f t="shared" ca="1" si="294"/>
        <v>33.700371895100339</v>
      </c>
      <c r="Y700" s="314" t="str">
        <f t="shared" ca="1" si="312"/>
        <v/>
      </c>
      <c r="Z700" s="315" t="str">
        <f t="shared" ca="1" si="313"/>
        <v/>
      </c>
      <c r="AA700" s="316" t="str">
        <f t="shared" ca="1" si="314"/>
        <v/>
      </c>
      <c r="AC700" s="310" t="e">
        <f t="shared" ca="1" si="315"/>
        <v>#N/A</v>
      </c>
      <c r="AD700" s="323" t="e">
        <f t="shared" ca="1" si="316"/>
        <v>#N/A</v>
      </c>
      <c r="AE700" s="324" t="e">
        <f t="shared" ca="1" si="295"/>
        <v>#N/A</v>
      </c>
      <c r="AG700" s="306">
        <f t="shared" ca="1" si="317"/>
        <v>4.344043596067217</v>
      </c>
      <c r="AH700" s="304">
        <f t="shared" ca="1" si="318"/>
        <v>-5.4301135915549255</v>
      </c>
    </row>
    <row r="701" spans="1:34" x14ac:dyDescent="0.2">
      <c r="A701" s="347">
        <f t="shared" ca="1" si="296"/>
        <v>0.1</v>
      </c>
      <c r="B701" s="304">
        <f t="shared" ca="1" si="297"/>
        <v>33.700000000000166</v>
      </c>
      <c r="D701" s="306">
        <f t="shared" ca="1" si="298"/>
        <v>-0.46383524851555313</v>
      </c>
      <c r="E701" s="307">
        <f t="shared" ca="1" si="299"/>
        <v>-4.3517186856647108</v>
      </c>
      <c r="F701" s="304">
        <f t="shared" ca="1" si="300"/>
        <v>4.37636820399391</v>
      </c>
      <c r="G701" s="306">
        <f t="shared" ca="1" si="301"/>
        <v>9.6080025091886085</v>
      </c>
      <c r="H701" s="307">
        <f t="shared" ca="1" si="302"/>
        <v>-114.04524152073107</v>
      </c>
      <c r="I701" s="304">
        <f t="shared" ca="1" si="303"/>
        <v>114.44925000076871</v>
      </c>
      <c r="J701" s="306">
        <f t="shared" ca="1" si="304"/>
        <v>508.00203288043093</v>
      </c>
      <c r="K701" s="307">
        <f t="shared" ca="1" si="305"/>
        <v>970.10097993149213</v>
      </c>
      <c r="L701" s="304">
        <f t="shared" ca="1" si="290"/>
        <v>1095.0625446405752</v>
      </c>
      <c r="M701" s="306">
        <f t="shared" ca="1" si="306"/>
        <v>-1.4867475105153589</v>
      </c>
      <c r="N701" s="304">
        <f t="shared" ca="1" si="307"/>
        <v>-85.18435755411204</v>
      </c>
      <c r="P701" s="310">
        <f t="shared" ca="1" si="308"/>
        <v>23</v>
      </c>
      <c r="Q701" s="304">
        <f t="shared" ca="1" si="309"/>
        <v>0</v>
      </c>
      <c r="R701" s="306">
        <f t="shared" ca="1" si="310"/>
        <v>0</v>
      </c>
      <c r="S701" s="307">
        <f t="shared" ca="1" si="311"/>
        <v>6.1519999999999921</v>
      </c>
      <c r="T701" s="304">
        <f t="shared" ca="1" si="291"/>
        <v>60.351119999999923</v>
      </c>
      <c r="U701" s="311">
        <f t="shared" ca="1" si="292"/>
        <v>0</v>
      </c>
      <c r="V701" s="306">
        <f t="shared" ca="1" si="293"/>
        <v>1.1116601833197315</v>
      </c>
      <c r="W701" s="304">
        <f t="shared" ca="1" si="294"/>
        <v>33.993631858154615</v>
      </c>
      <c r="Y701" s="314" t="str">
        <f t="shared" ca="1" si="312"/>
        <v/>
      </c>
      <c r="Z701" s="315" t="str">
        <f t="shared" ca="1" si="313"/>
        <v/>
      </c>
      <c r="AA701" s="316" t="str">
        <f t="shared" ca="1" si="314"/>
        <v/>
      </c>
      <c r="AC701" s="310" t="e">
        <f t="shared" ca="1" si="315"/>
        <v>#N/A</v>
      </c>
      <c r="AD701" s="323" t="e">
        <f t="shared" ca="1" si="316"/>
        <v>#N/A</v>
      </c>
      <c r="AE701" s="324" t="e">
        <f t="shared" ca="1" si="295"/>
        <v>#N/A</v>
      </c>
      <c r="AG701" s="306">
        <f t="shared" ca="1" si="317"/>
        <v>4.2968163709914284</v>
      </c>
      <c r="AH701" s="304">
        <f t="shared" ca="1" si="318"/>
        <v>-5.4779538190995423</v>
      </c>
    </row>
    <row r="702" spans="1:34" x14ac:dyDescent="0.2">
      <c r="A702" s="347">
        <f t="shared" ca="1" si="296"/>
        <v>0.1</v>
      </c>
      <c r="B702" s="304">
        <f t="shared" ca="1" si="297"/>
        <v>33.800000000000168</v>
      </c>
      <c r="D702" s="306">
        <f t="shared" ca="1" si="298"/>
        <v>-0.46387545868542512</v>
      </c>
      <c r="E702" s="307">
        <f t="shared" ca="1" si="299"/>
        <v>-4.3038827117576588</v>
      </c>
      <c r="F702" s="304">
        <f t="shared" ca="1" si="300"/>
        <v>4.3288089398513616</v>
      </c>
      <c r="G702" s="306">
        <f t="shared" ca="1" si="301"/>
        <v>9.561614963320066</v>
      </c>
      <c r="H702" s="307">
        <f t="shared" ca="1" si="302"/>
        <v>-114.47562979190684</v>
      </c>
      <c r="I702" s="304">
        <f t="shared" ca="1" si="303"/>
        <v>114.8742542825001</v>
      </c>
      <c r="J702" s="306">
        <f t="shared" ca="1" si="304"/>
        <v>508.96051375405636</v>
      </c>
      <c r="K702" s="307">
        <f t="shared" ca="1" si="305"/>
        <v>958.67493636586028</v>
      </c>
      <c r="L702" s="304">
        <f t="shared" ca="1" si="290"/>
        <v>1085.4024314404678</v>
      </c>
      <c r="M702" s="306">
        <f t="shared" ca="1" si="306"/>
        <v>-1.4874644235823287</v>
      </c>
      <c r="N702" s="304">
        <f t="shared" ca="1" si="307"/>
        <v>-85.22543364712719</v>
      </c>
      <c r="P702" s="310">
        <f t="shared" ca="1" si="308"/>
        <v>23</v>
      </c>
      <c r="Q702" s="304">
        <f t="shared" ca="1" si="309"/>
        <v>0</v>
      </c>
      <c r="R702" s="306">
        <f t="shared" ca="1" si="310"/>
        <v>0</v>
      </c>
      <c r="S702" s="307">
        <f t="shared" ca="1" si="311"/>
        <v>6.1519999999999921</v>
      </c>
      <c r="T702" s="304">
        <f t="shared" ca="1" si="291"/>
        <v>60.351119999999923</v>
      </c>
      <c r="U702" s="311">
        <f t="shared" ca="1" si="292"/>
        <v>0</v>
      </c>
      <c r="V702" s="306">
        <f t="shared" ca="1" si="293"/>
        <v>1.1129340606585303</v>
      </c>
      <c r="W702" s="304">
        <f t="shared" ca="1" si="294"/>
        <v>34.28581348635668</v>
      </c>
      <c r="Y702" s="314" t="str">
        <f t="shared" ca="1" si="312"/>
        <v/>
      </c>
      <c r="Z702" s="315" t="str">
        <f t="shared" ca="1" si="313"/>
        <v/>
      </c>
      <c r="AA702" s="316" t="str">
        <f t="shared" ca="1" si="314"/>
        <v/>
      </c>
      <c r="AC702" s="310" t="e">
        <f t="shared" ca="1" si="315"/>
        <v>#N/A</v>
      </c>
      <c r="AD702" s="323" t="e">
        <f t="shared" ca="1" si="316"/>
        <v>#N/A</v>
      </c>
      <c r="AE702" s="324" t="e">
        <f t="shared" ca="1" si="295"/>
        <v>#N/A</v>
      </c>
      <c r="AG702" s="306">
        <f t="shared" ca="1" si="317"/>
        <v>4.2497476109719692</v>
      </c>
      <c r="AH702" s="304">
        <f t="shared" ca="1" si="318"/>
        <v>-5.525622863809275</v>
      </c>
    </row>
    <row r="703" spans="1:34" x14ac:dyDescent="0.2">
      <c r="A703" s="347">
        <f t="shared" ca="1" si="296"/>
        <v>0.1</v>
      </c>
      <c r="B703" s="304">
        <f t="shared" ca="1" si="297"/>
        <v>33.900000000000169</v>
      </c>
      <c r="D703" s="306">
        <f t="shared" ca="1" si="298"/>
        <v>-0.46388109904438557</v>
      </c>
      <c r="E703" s="307">
        <f t="shared" ca="1" si="299"/>
        <v>-4.2562226135040904</v>
      </c>
      <c r="F703" s="304">
        <f t="shared" ca="1" si="300"/>
        <v>4.2814269361690869</v>
      </c>
      <c r="G703" s="306">
        <f t="shared" ca="1" si="301"/>
        <v>9.5152268534156281</v>
      </c>
      <c r="H703" s="307">
        <f t="shared" ca="1" si="302"/>
        <v>-114.90125205325725</v>
      </c>
      <c r="I703" s="304">
        <f t="shared" ca="1" si="303"/>
        <v>115.29456737191964</v>
      </c>
      <c r="J703" s="306">
        <f t="shared" ca="1" si="304"/>
        <v>509.91435584489312</v>
      </c>
      <c r="K703" s="307">
        <f t="shared" ca="1" si="305"/>
        <v>947.20609227360205</v>
      </c>
      <c r="L703" s="304">
        <f t="shared" ca="1" si="290"/>
        <v>1075.7379009484325</v>
      </c>
      <c r="M703" s="306">
        <f t="shared" ca="1" si="306"/>
        <v>-1.488172644493337</v>
      </c>
      <c r="N703" s="304">
        <f t="shared" ca="1" si="307"/>
        <v>-85.266011716290876</v>
      </c>
      <c r="P703" s="310">
        <f t="shared" ca="1" si="308"/>
        <v>23</v>
      </c>
      <c r="Q703" s="304">
        <f t="shared" ca="1" si="309"/>
        <v>0</v>
      </c>
      <c r="R703" s="306">
        <f t="shared" ca="1" si="310"/>
        <v>0</v>
      </c>
      <c r="S703" s="307">
        <f t="shared" ca="1" si="311"/>
        <v>6.1519999999999921</v>
      </c>
      <c r="T703" s="304">
        <f t="shared" ca="1" si="291"/>
        <v>60.351119999999923</v>
      </c>
      <c r="U703" s="311">
        <f t="shared" ca="1" si="292"/>
        <v>0</v>
      </c>
      <c r="V703" s="306">
        <f t="shared" ca="1" si="293"/>
        <v>1.1142141073206753</v>
      </c>
      <c r="W703" s="304">
        <f t="shared" ca="1" si="294"/>
        <v>34.576892121095483</v>
      </c>
      <c r="Y703" s="314" t="str">
        <f t="shared" ca="1" si="312"/>
        <v/>
      </c>
      <c r="Z703" s="315" t="str">
        <f t="shared" ca="1" si="313"/>
        <v/>
      </c>
      <c r="AA703" s="316" t="str">
        <f t="shared" ca="1" si="314"/>
        <v/>
      </c>
      <c r="AC703" s="310" t="e">
        <f t="shared" ca="1" si="315"/>
        <v>#N/A</v>
      </c>
      <c r="AD703" s="323" t="e">
        <f t="shared" ca="1" si="316"/>
        <v>#N/A</v>
      </c>
      <c r="AE703" s="324" t="e">
        <f t="shared" ca="1" si="295"/>
        <v>#N/A</v>
      </c>
      <c r="AG703" s="306">
        <f t="shared" ca="1" si="317"/>
        <v>4.2028417487726122</v>
      </c>
      <c r="AH703" s="304">
        <f t="shared" ca="1" si="318"/>
        <v>-5.5731166265209238</v>
      </c>
    </row>
    <row r="704" spans="1:34" x14ac:dyDescent="0.2">
      <c r="A704" s="347">
        <f t="shared" ca="1" si="296"/>
        <v>0.1</v>
      </c>
      <c r="B704" s="304">
        <f t="shared" ca="1" si="297"/>
        <v>34.000000000000171</v>
      </c>
      <c r="D704" s="306">
        <f t="shared" ca="1" si="298"/>
        <v>-0.46385253130387971</v>
      </c>
      <c r="E704" s="307">
        <f t="shared" ca="1" si="299"/>
        <v>-4.2087424119313912</v>
      </c>
      <c r="F704" s="304">
        <f t="shared" ca="1" si="300"/>
        <v>4.234226241096132</v>
      </c>
      <c r="G704" s="306">
        <f t="shared" ca="1" si="301"/>
        <v>9.4688416002852396</v>
      </c>
      <c r="H704" s="307">
        <f t="shared" ca="1" si="302"/>
        <v>-115.32212629445038</v>
      </c>
      <c r="I704" s="304">
        <f t="shared" ca="1" si="303"/>
        <v>115.71020600761395</v>
      </c>
      <c r="J704" s="306">
        <f t="shared" ca="1" si="304"/>
        <v>510.86355926757818</v>
      </c>
      <c r="K704" s="307">
        <f t="shared" ca="1" si="305"/>
        <v>935.69492335621669</v>
      </c>
      <c r="L704" s="304">
        <f t="shared" ca="1" si="290"/>
        <v>1066.0706195098589</v>
      </c>
      <c r="M704" s="306">
        <f t="shared" ca="1" si="306"/>
        <v>-1.4888723377345587</v>
      </c>
      <c r="N704" s="304">
        <f t="shared" ca="1" si="307"/>
        <v>-85.30610118596671</v>
      </c>
      <c r="P704" s="310">
        <f t="shared" ca="1" si="308"/>
        <v>23</v>
      </c>
      <c r="Q704" s="304">
        <f t="shared" ca="1" si="309"/>
        <v>0</v>
      </c>
      <c r="R704" s="306">
        <f t="shared" ca="1" si="310"/>
        <v>0</v>
      </c>
      <c r="S704" s="307">
        <f t="shared" ca="1" si="311"/>
        <v>6.1519999999999921</v>
      </c>
      <c r="T704" s="304">
        <f t="shared" ca="1" si="291"/>
        <v>60.351119999999923</v>
      </c>
      <c r="U704" s="311">
        <f t="shared" ca="1" si="292"/>
        <v>0</v>
      </c>
      <c r="V704" s="306">
        <f t="shared" ca="1" si="293"/>
        <v>1.1155002881148586</v>
      </c>
      <c r="W704" s="304">
        <f t="shared" ca="1" si="294"/>
        <v>34.866843661875592</v>
      </c>
      <c r="Y704" s="314" t="str">
        <f t="shared" ca="1" si="312"/>
        <v/>
      </c>
      <c r="Z704" s="315" t="str">
        <f t="shared" ca="1" si="313"/>
        <v/>
      </c>
      <c r="AA704" s="316" t="str">
        <f t="shared" ca="1" si="314"/>
        <v/>
      </c>
      <c r="AC704" s="310">
        <f t="shared" ca="1" si="315"/>
        <v>34.000000000000171</v>
      </c>
      <c r="AD704" s="323">
        <f t="shared" ca="1" si="316"/>
        <v>510.86355926757818</v>
      </c>
      <c r="AE704" s="324" t="e">
        <f t="shared" ca="1" si="295"/>
        <v>#N/A</v>
      </c>
      <c r="AG704" s="306">
        <f t="shared" ca="1" si="317"/>
        <v>4.1561031153613586</v>
      </c>
      <c r="AH704" s="304">
        <f t="shared" ca="1" si="318"/>
        <v>-5.6204310990077255</v>
      </c>
    </row>
    <row r="705" spans="1:34" x14ac:dyDescent="0.2">
      <c r="A705" s="347">
        <f t="shared" ca="1" si="296"/>
        <v>0.1</v>
      </c>
      <c r="B705" s="304">
        <f t="shared" ca="1" si="297"/>
        <v>34.100000000000172</v>
      </c>
      <c r="D705" s="306">
        <f t="shared" ca="1" si="298"/>
        <v>-0.46379011959141658</v>
      </c>
      <c r="E705" s="307">
        <f t="shared" ca="1" si="299"/>
        <v>-4.1614460370708457</v>
      </c>
      <c r="F705" s="304">
        <f t="shared" ca="1" si="300"/>
        <v>4.1872108132363319</v>
      </c>
      <c r="G705" s="306">
        <f t="shared" ca="1" si="301"/>
        <v>9.4224625883260984</v>
      </c>
      <c r="H705" s="307">
        <f t="shared" ca="1" si="302"/>
        <v>-115.73827089815747</v>
      </c>
      <c r="I705" s="304">
        <f t="shared" ca="1" si="303"/>
        <v>116.1211873506454</v>
      </c>
      <c r="J705" s="306">
        <f t="shared" ca="1" si="304"/>
        <v>511.80812447700873</v>
      </c>
      <c r="K705" s="307">
        <f t="shared" ca="1" si="305"/>
        <v>924.14190349658634</v>
      </c>
      <c r="L705" s="304">
        <f t="shared" ca="1" si="290"/>
        <v>1056.402297460095</v>
      </c>
      <c r="M705" s="306">
        <f t="shared" ca="1" si="306"/>
        <v>-1.4895636635248841</v>
      </c>
      <c r="N705" s="304">
        <f t="shared" ca="1" si="307"/>
        <v>-85.345711236020904</v>
      </c>
      <c r="P705" s="310">
        <f t="shared" ca="1" si="308"/>
        <v>23</v>
      </c>
      <c r="Q705" s="304">
        <f t="shared" ca="1" si="309"/>
        <v>0</v>
      </c>
      <c r="R705" s="306">
        <f t="shared" ca="1" si="310"/>
        <v>0</v>
      </c>
      <c r="S705" s="307">
        <f t="shared" ca="1" si="311"/>
        <v>6.1519999999999921</v>
      </c>
      <c r="T705" s="304">
        <f t="shared" ca="1" si="291"/>
        <v>60.351119999999923</v>
      </c>
      <c r="U705" s="311">
        <f t="shared" ca="1" si="292"/>
        <v>0</v>
      </c>
      <c r="V705" s="306">
        <f t="shared" ca="1" si="293"/>
        <v>1.116792567933776</v>
      </c>
      <c r="W705" s="304">
        <f t="shared" ca="1" si="294"/>
        <v>35.155644564791423</v>
      </c>
      <c r="Y705" s="314" t="str">
        <f t="shared" ca="1" si="312"/>
        <v/>
      </c>
      <c r="Z705" s="315" t="str">
        <f t="shared" ca="1" si="313"/>
        <v/>
      </c>
      <c r="AA705" s="316" t="str">
        <f t="shared" ca="1" si="314"/>
        <v/>
      </c>
      <c r="AC705" s="310" t="e">
        <f t="shared" ca="1" si="315"/>
        <v>#N/A</v>
      </c>
      <c r="AD705" s="323" t="e">
        <f t="shared" ca="1" si="316"/>
        <v>#N/A</v>
      </c>
      <c r="AE705" s="324" t="e">
        <f t="shared" ca="1" si="295"/>
        <v>#N/A</v>
      </c>
      <c r="AG705" s="306">
        <f t="shared" ca="1" si="317"/>
        <v>4.1095359405474223</v>
      </c>
      <c r="AH705" s="304">
        <f t="shared" ca="1" si="318"/>
        <v>-5.6675623637639205</v>
      </c>
    </row>
    <row r="706" spans="1:34" x14ac:dyDescent="0.2">
      <c r="A706" s="347">
        <f t="shared" ca="1" si="296"/>
        <v>0.1</v>
      </c>
      <c r="B706" s="304">
        <f t="shared" ca="1" si="297"/>
        <v>34.200000000000173</v>
      </c>
      <c r="D706" s="306">
        <f t="shared" ca="1" si="298"/>
        <v>-0.46369423030289403</v>
      </c>
      <c r="E706" s="307">
        <f t="shared" ca="1" si="299"/>
        <v>-4.1143373282055169</v>
      </c>
      <c r="F706" s="304">
        <f t="shared" ca="1" si="300"/>
        <v>4.1403845219353119</v>
      </c>
      <c r="G706" s="306">
        <f t="shared" ca="1" si="301"/>
        <v>9.3760931652958082</v>
      </c>
      <c r="H706" s="307">
        <f t="shared" ca="1" si="302"/>
        <v>-116.14970463097802</v>
      </c>
      <c r="I706" s="304">
        <f t="shared" ca="1" si="303"/>
        <v>116.52752897452064</v>
      </c>
      <c r="J706" s="306">
        <f t="shared" ca="1" si="304"/>
        <v>512.74805226468982</v>
      </c>
      <c r="K706" s="307">
        <f t="shared" ca="1" si="305"/>
        <v>912.54750472012961</v>
      </c>
      <c r="L706" s="304">
        <f t="shared" ca="1" si="290"/>
        <v>1046.7346910617648</v>
      </c>
      <c r="M706" s="306">
        <f t="shared" ca="1" si="306"/>
        <v>-1.4902467779525621</v>
      </c>
      <c r="N706" s="304">
        <f t="shared" ca="1" si="307"/>
        <v>-85.384850809651354</v>
      </c>
      <c r="P706" s="310">
        <f t="shared" ca="1" si="308"/>
        <v>23</v>
      </c>
      <c r="Q706" s="304">
        <f t="shared" ca="1" si="309"/>
        <v>0</v>
      </c>
      <c r="R706" s="306">
        <f t="shared" ca="1" si="310"/>
        <v>0</v>
      </c>
      <c r="S706" s="307">
        <f t="shared" ca="1" si="311"/>
        <v>6.1519999999999921</v>
      </c>
      <c r="T706" s="304">
        <f t="shared" ca="1" si="291"/>
        <v>60.351119999999923</v>
      </c>
      <c r="U706" s="311">
        <f t="shared" ca="1" si="292"/>
        <v>0</v>
      </c>
      <c r="V706" s="306">
        <f t="shared" ca="1" si="293"/>
        <v>1.1180909117571789</v>
      </c>
      <c r="W706" s="304">
        <f t="shared" ca="1" si="294"/>
        <v>35.443271840805529</v>
      </c>
      <c r="Y706" s="314" t="str">
        <f t="shared" ca="1" si="312"/>
        <v/>
      </c>
      <c r="Z706" s="315" t="str">
        <f t="shared" ca="1" si="313"/>
        <v/>
      </c>
      <c r="AA706" s="316" t="str">
        <f t="shared" ca="1" si="314"/>
        <v/>
      </c>
      <c r="AC706" s="310" t="e">
        <f t="shared" ca="1" si="315"/>
        <v>#N/A</v>
      </c>
      <c r="AD706" s="323" t="e">
        <f t="shared" ca="1" si="316"/>
        <v>#N/A</v>
      </c>
      <c r="AE706" s="324" t="e">
        <f t="shared" ca="1" si="295"/>
        <v>#N/A</v>
      </c>
      <c r="AG706" s="306">
        <f t="shared" ca="1" si="317"/>
        <v>4.0631443536318388</v>
      </c>
      <c r="AH706" s="304">
        <f t="shared" ca="1" si="318"/>
        <v>-5.7145065937567407</v>
      </c>
    </row>
    <row r="707" spans="1:34" x14ac:dyDescent="0.2">
      <c r="A707" s="347">
        <f t="shared" ca="1" si="296"/>
        <v>0.1</v>
      </c>
      <c r="B707" s="304">
        <f t="shared" ca="1" si="297"/>
        <v>34.300000000000175</v>
      </c>
      <c r="D707" s="306">
        <f t="shared" ca="1" si="298"/>
        <v>-0.46356523195677135</v>
      </c>
      <c r="E707" s="307">
        <f t="shared" ca="1" si="299"/>
        <v>-4.0674200341501097</v>
      </c>
      <c r="F707" s="304">
        <f t="shared" ca="1" si="300"/>
        <v>4.0937511476010382</v>
      </c>
      <c r="G707" s="306">
        <f t="shared" ca="1" si="301"/>
        <v>9.3297366421001318</v>
      </c>
      <c r="H707" s="307">
        <f t="shared" ca="1" si="302"/>
        <v>-116.55644663439303</v>
      </c>
      <c r="I707" s="304">
        <f t="shared" ca="1" si="303"/>
        <v>116.92924885522464</v>
      </c>
      <c r="J707" s="306">
        <f t="shared" ca="1" si="304"/>
        <v>513.68334375505958</v>
      </c>
      <c r="K707" s="307">
        <f t="shared" ca="1" si="305"/>
        <v>900.91219715686111</v>
      </c>
      <c r="L707" s="304">
        <f t="shared" ca="1" si="290"/>
        <v>1037.0696045287325</v>
      </c>
      <c r="M707" s="306">
        <f t="shared" ca="1" si="306"/>
        <v>-1.4909218331066574</v>
      </c>
      <c r="N707" s="304">
        <f t="shared" ca="1" si="307"/>
        <v>-85.423528620919555</v>
      </c>
      <c r="P707" s="310">
        <f t="shared" ca="1" si="308"/>
        <v>23</v>
      </c>
      <c r="Q707" s="304">
        <f t="shared" ca="1" si="309"/>
        <v>0</v>
      </c>
      <c r="R707" s="306">
        <f t="shared" ca="1" si="310"/>
        <v>0</v>
      </c>
      <c r="S707" s="307">
        <f t="shared" ca="1" si="311"/>
        <v>6.1519999999999921</v>
      </c>
      <c r="T707" s="304">
        <f t="shared" ca="1" si="291"/>
        <v>60.351119999999923</v>
      </c>
      <c r="U707" s="311">
        <f t="shared" ca="1" si="292"/>
        <v>0</v>
      </c>
      <c r="V707" s="306">
        <f t="shared" ca="1" si="293"/>
        <v>1.11939528465487</v>
      </c>
      <c r="W707" s="304">
        <f t="shared" ca="1" si="294"/>
        <v>35.729703053835522</v>
      </c>
      <c r="Y707" s="314" t="str">
        <f t="shared" ca="1" si="312"/>
        <v/>
      </c>
      <c r="Z707" s="315" t="str">
        <f t="shared" ca="1" si="313"/>
        <v/>
      </c>
      <c r="AA707" s="316" t="str">
        <f t="shared" ca="1" si="314"/>
        <v/>
      </c>
      <c r="AC707" s="310" t="e">
        <f t="shared" ca="1" si="315"/>
        <v>#N/A</v>
      </c>
      <c r="AD707" s="323" t="e">
        <f t="shared" ca="1" si="316"/>
        <v>#N/A</v>
      </c>
      <c r="AE707" s="324" t="e">
        <f t="shared" ca="1" si="295"/>
        <v>#N/A</v>
      </c>
      <c r="AG707" s="306">
        <f t="shared" ca="1" si="317"/>
        <v>4.016932384071989</v>
      </c>
      <c r="AH707" s="304">
        <f t="shared" ca="1" si="318"/>
        <v>-5.7612600521465502</v>
      </c>
    </row>
    <row r="708" spans="1:34" x14ac:dyDescent="0.2">
      <c r="A708" s="347">
        <f t="shared" ca="1" si="296"/>
        <v>0.1</v>
      </c>
      <c r="B708" s="304">
        <f t="shared" ca="1" si="297"/>
        <v>34.400000000000176</v>
      </c>
      <c r="D708" s="306">
        <f t="shared" ca="1" si="298"/>
        <v>-0.46340349505011696</v>
      </c>
      <c r="E708" s="307">
        <f t="shared" ca="1" si="299"/>
        <v>-4.020697813562089</v>
      </c>
      <c r="F708" s="304">
        <f t="shared" ca="1" si="300"/>
        <v>4.0473143820572703</v>
      </c>
      <c r="G708" s="306">
        <f t="shared" ca="1" si="301"/>
        <v>9.2833962925951194</v>
      </c>
      <c r="H708" s="307">
        <f t="shared" ca="1" si="302"/>
        <v>-116.95851641574923</v>
      </c>
      <c r="I708" s="304">
        <f t="shared" ca="1" si="303"/>
        <v>117.32636536132213</v>
      </c>
      <c r="J708" s="306">
        <f t="shared" ca="1" si="304"/>
        <v>514.61400040179433</v>
      </c>
      <c r="K708" s="307">
        <f t="shared" ca="1" si="305"/>
        <v>889.23644900435397</v>
      </c>
      <c r="L708" s="304">
        <f t="shared" ref="L708:L771" ca="1" si="319">SQRT(pos_x^2+pos_z^2)</f>
        <v>1027.4088921395469</v>
      </c>
      <c r="M708" s="306">
        <f t="shared" ca="1" si="306"/>
        <v>-1.4915889772035484</v>
      </c>
      <c r="N708" s="304">
        <f t="shared" ca="1" si="307"/>
        <v>-85.461753161998487</v>
      </c>
      <c r="P708" s="310">
        <f t="shared" ca="1" si="308"/>
        <v>23</v>
      </c>
      <c r="Q708" s="304">
        <f t="shared" ca="1" si="309"/>
        <v>0</v>
      </c>
      <c r="R708" s="306">
        <f t="shared" ca="1" si="310"/>
        <v>0</v>
      </c>
      <c r="S708" s="307">
        <f t="shared" ca="1" si="311"/>
        <v>6.1519999999999921</v>
      </c>
      <c r="T708" s="304">
        <f t="shared" ref="T708:T771" ca="1" si="320">m*g</f>
        <v>60.351119999999923</v>
      </c>
      <c r="U708" s="311">
        <f t="shared" ref="U708:U771" ca="1" si="321">IF(pos_xz&lt;L_rampe,Poids*COS(Beta),0)</f>
        <v>0</v>
      </c>
      <c r="V708" s="306">
        <f t="shared" ref="V708:V771" ca="1" si="322">Rho_moyen*(20000-Alt_rampe-pos_z)/(20000+Alt_rampe+pos_z)</f>
        <v>1.1207056517896561</v>
      </c>
      <c r="W708" s="304">
        <f t="shared" ref="W708:W771" ca="1" si="323">1/2*Rho*Sref*Cx*vit_xz^2</f>
        <v>36.014916318654848</v>
      </c>
      <c r="Y708" s="314" t="str">
        <f t="shared" ca="1" si="312"/>
        <v/>
      </c>
      <c r="Z708" s="315" t="str">
        <f t="shared" ca="1" si="313"/>
        <v/>
      </c>
      <c r="AA708" s="316" t="str">
        <f t="shared" ca="1" si="314"/>
        <v/>
      </c>
      <c r="AC708" s="310" t="e">
        <f t="shared" ca="1" si="315"/>
        <v>#N/A</v>
      </c>
      <c r="AD708" s="323" t="e">
        <f t="shared" ca="1" si="316"/>
        <v>#N/A</v>
      </c>
      <c r="AE708" s="324" t="e">
        <f t="shared" ref="AE708:AE771" ca="1" si="324">IF(t&lt;T_para, pos_z, NA())</f>
        <v>#N/A</v>
      </c>
      <c r="AG708" s="306">
        <f t="shared" ca="1" si="317"/>
        <v>3.9709039621601683</v>
      </c>
      <c r="AH708" s="304">
        <f t="shared" ca="1" si="318"/>
        <v>-5.8078190919758725</v>
      </c>
    </row>
    <row r="709" spans="1:34" x14ac:dyDescent="0.2">
      <c r="A709" s="347">
        <f t="shared" ref="A709:A772" ca="1" si="325">IF(B708+0.01&lt;=T_ini+ROUNDUP(Temps_fin_propu,0), 0.01, IF(K708&gt;0, 0.1, 0.0001))</f>
        <v>0.1</v>
      </c>
      <c r="B709" s="304">
        <f t="shared" ref="B709:B772" ca="1" si="326">B708+pas</f>
        <v>34.500000000000178</v>
      </c>
      <c r="D709" s="306">
        <f t="shared" ref="D709:D772" ca="1" si="327">IF(AND(L708&lt;L_rampe,Poussee&lt;Poids*SIN(M708)),0,(-W708+Poussee)/m*COS(M708)-U708/m*SIN(M708))</f>
        <v>-0.46320939191656768</v>
      </c>
      <c r="E709" s="307">
        <f t="shared" ref="E709:E772" ca="1" si="328">IF(AND(L708&lt;L_rampe,Poussee&lt;Poids*SIN(M708)),0,(-W708+Poussee)/m*SIN(M708)+U708/m*COS(M708)-Poids/m)</f>
        <v>-3.9741742352831855</v>
      </c>
      <c r="F709" s="304">
        <f t="shared" ref="F709:F772" ca="1" si="329">SQRT(acc_x^2+acc_z^2)</f>
        <v>4.0010778289291506</v>
      </c>
      <c r="G709" s="306">
        <f t="shared" ref="G709:G772" ca="1" si="330">G708+acc_x*pas</f>
        <v>9.237075353403462</v>
      </c>
      <c r="H709" s="307">
        <f t="shared" ref="H709:H772" ca="1" si="331">H708+acc_z*pas</f>
        <v>-117.35593383927755</v>
      </c>
      <c r="I709" s="304">
        <f t="shared" ref="I709:I772" ca="1" si="332">SQRT(vit_x^2+vit_z^2)</f>
        <v>117.71889724412705</v>
      </c>
      <c r="J709" s="306">
        <f t="shared" ref="J709:J772" ca="1" si="333">J708+0.5*(vit_x+G708)*pas*(K708&gt;=0)</f>
        <v>515.5400239840942</v>
      </c>
      <c r="K709" s="307">
        <f t="shared" ref="K709:K772" ca="1" si="334">K708+0.5*(vit_z+H708)*pas</f>
        <v>877.52072649160266</v>
      </c>
      <c r="L709" s="304">
        <f t="shared" ca="1" si="319"/>
        <v>1017.7544604431221</v>
      </c>
      <c r="M709" s="306">
        <f t="shared" ref="M709:M772" ca="1" si="335">IF(AND(L708&gt;L_rampe,G709&gt;0),ATAN2(G709,H709),$M$4)</f>
        <v>-1.4922483547086833</v>
      </c>
      <c r="N709" s="304">
        <f t="shared" ref="N709:N772" ca="1" si="336">DEGREES(Beta)</f>
        <v>-85.499532710148586</v>
      </c>
      <c r="P709" s="310">
        <f t="shared" ref="P709:P772" ca="1" si="337">MATCH(t-pas/2-T_ini,CdP_t)</f>
        <v>23</v>
      </c>
      <c r="Q709" s="304">
        <f t="shared" ref="Q709:Q772" ca="1" si="338">(INDEX(CdP,2,i_P+1)-INDEX(CdP,2,i_P+0))/(INDEX(CdP,1,i_P+1)-INDEX(CdP,1,i_P+0))*(t-pas/2-T_ini-INDEX(CdP,1,i_P+0))+INDEX(CdP,2,i_P+0)</f>
        <v>0</v>
      </c>
      <c r="R709" s="306">
        <f t="shared" ref="R709:R772" ca="1" si="339">Poussee/(g*ISP)</f>
        <v>0</v>
      </c>
      <c r="S709" s="307">
        <f t="shared" ref="S709:S772" ca="1" si="340">S708-Débit*pas</f>
        <v>6.1519999999999921</v>
      </c>
      <c r="T709" s="304">
        <f t="shared" ca="1" si="320"/>
        <v>60.351119999999923</v>
      </c>
      <c r="U709" s="311">
        <f t="shared" ca="1" si="321"/>
        <v>0</v>
      </c>
      <c r="V709" s="306">
        <f t="shared" ca="1" si="322"/>
        <v>1.1220219784202454</v>
      </c>
      <c r="W709" s="304">
        <f t="shared" ca="1" si="323"/>
        <v>36.298890298611632</v>
      </c>
      <c r="Y709" s="314" t="str">
        <f t="shared" ref="Y709:Y772" ca="1" si="341">IF(AND(pos_z&lt;=0,K708&gt;0),"Impact balistique","") &amp; IF(AND(H710&lt;0,vit_z&gt;=0),"Apogée","") &amp; IF(AND(Poussee=0,Q708&gt;0),"Fin de propulsion","") &amp; IF(AND(L710&gt;L_rampe,pos_xz&lt;=L_rampe),"Sortie de rampe","")</f>
        <v/>
      </c>
      <c r="Z709" s="315" t="str">
        <f t="shared" ref="Z709:Z772" ca="1" si="342">IF(ABS(t-T_para)&lt;pas/2,"Para","")</f>
        <v/>
      </c>
      <c r="AA709" s="316" t="str">
        <f t="shared" ref="AA709:AA772" ca="1" si="343">IF(ABS(t-T_satellite)&lt;pas/2,"Satellite","")</f>
        <v/>
      </c>
      <c r="AC709" s="310" t="e">
        <f t="shared" ref="AC709:AC772" ca="1" si="344">IF(ABS(t-ROUND(t,0))&lt;0.001,t,NA())</f>
        <v>#N/A</v>
      </c>
      <c r="AD709" s="323" t="e">
        <f t="shared" ref="AD709:AD772" ca="1" si="345">IF(ABS(t-ROUND(t,0))&lt;0.001,pos_x,NA())</f>
        <v>#N/A</v>
      </c>
      <c r="AE709" s="324" t="e">
        <f t="shared" ca="1" si="324"/>
        <v>#N/A</v>
      </c>
      <c r="AG709" s="306">
        <f t="shared" ref="AG709:AG772" ca="1" si="346">IF(AND(L708&lt;L_rampe,Poussee&lt;Poids*SIN(M708)),0,(-W708+Poussee)/m-Poids*SIN(M708)/m)</f>
        <v>3.9250629197162139</v>
      </c>
      <c r="AH709" s="304">
        <f t="shared" ref="AH709:AH772" ca="1" si="347">IF(AND(L708&lt;L_rampe,Poussee&lt;Poids*SIN(M708)), g*SIN(M708), (-W708+Poussee)/m)</f>
        <v>-5.8541801558281685</v>
      </c>
    </row>
    <row r="710" spans="1:34" x14ac:dyDescent="0.2">
      <c r="A710" s="347">
        <f t="shared" ca="1" si="325"/>
        <v>0.1</v>
      </c>
      <c r="B710" s="304">
        <f t="shared" ca="1" si="326"/>
        <v>34.600000000000179</v>
      </c>
      <c r="D710" s="306">
        <f t="shared" ca="1" si="327"/>
        <v>-0.46298329658621901</v>
      </c>
      <c r="E710" s="307">
        <f t="shared" ca="1" si="328"/>
        <v>-3.9278527787106077</v>
      </c>
      <c r="F710" s="304">
        <f t="shared" ca="1" si="329"/>
        <v>3.9550450040603184</v>
      </c>
      <c r="G710" s="306">
        <f t="shared" ca="1" si="330"/>
        <v>9.1907770237448396</v>
      </c>
      <c r="H710" s="307">
        <f t="shared" ca="1" si="331"/>
        <v>-117.74871911714861</v>
      </c>
      <c r="I710" s="304">
        <f t="shared" ca="1" si="332"/>
        <v>118.10686362794227</v>
      </c>
      <c r="J710" s="306">
        <f t="shared" ca="1" si="333"/>
        <v>516.46141660295166</v>
      </c>
      <c r="K710" s="307">
        <f t="shared" ca="1" si="334"/>
        <v>865.76549384378131</v>
      </c>
      <c r="L710" s="304">
        <f t="shared" ca="1" si="319"/>
        <v>1008.1082705593155</v>
      </c>
      <c r="M710" s="306">
        <f t="shared" ca="1" si="335"/>
        <v>-1.492900106453799</v>
      </c>
      <c r="N710" s="304">
        <f t="shared" ca="1" si="336"/>
        <v>-85.536875334434001</v>
      </c>
      <c r="P710" s="310">
        <f t="shared" ca="1" si="337"/>
        <v>23</v>
      </c>
      <c r="Q710" s="304">
        <f t="shared" ca="1" si="338"/>
        <v>0</v>
      </c>
      <c r="R710" s="306">
        <f t="shared" ca="1" si="339"/>
        <v>0</v>
      </c>
      <c r="S710" s="307">
        <f t="shared" ca="1" si="340"/>
        <v>6.1519999999999921</v>
      </c>
      <c r="T710" s="304">
        <f t="shared" ca="1" si="320"/>
        <v>60.351119999999923</v>
      </c>
      <c r="U710" s="311">
        <f t="shared" ca="1" si="321"/>
        <v>0</v>
      </c>
      <c r="V710" s="306">
        <f t="shared" ca="1" si="322"/>
        <v>1.1233442299040945</v>
      </c>
      <c r="W710" s="304">
        <f t="shared" ca="1" si="323"/>
        <v>36.581604203170656</v>
      </c>
      <c r="Y710" s="314" t="str">
        <f t="shared" ca="1" si="341"/>
        <v/>
      </c>
      <c r="Z710" s="315" t="str">
        <f t="shared" ca="1" si="342"/>
        <v/>
      </c>
      <c r="AA710" s="316" t="str">
        <f t="shared" ca="1" si="343"/>
        <v/>
      </c>
      <c r="AC710" s="310" t="e">
        <f t="shared" ca="1" si="344"/>
        <v>#N/A</v>
      </c>
      <c r="AD710" s="323" t="e">
        <f t="shared" ca="1" si="345"/>
        <v>#N/A</v>
      </c>
      <c r="AE710" s="324" t="e">
        <f t="shared" ca="1" si="324"/>
        <v>#N/A</v>
      </c>
      <c r="AG710" s="306">
        <f t="shared" ca="1" si="346"/>
        <v>3.8794129907943393</v>
      </c>
      <c r="AH710" s="304">
        <f t="shared" ca="1" si="347"/>
        <v>-5.9003397754570344</v>
      </c>
    </row>
    <row r="711" spans="1:34" x14ac:dyDescent="0.2">
      <c r="A711" s="347">
        <f t="shared" ca="1" si="325"/>
        <v>0.1</v>
      </c>
      <c r="B711" s="304">
        <f t="shared" ca="1" si="326"/>
        <v>34.70000000000018</v>
      </c>
      <c r="D711" s="306">
        <f t="shared" ca="1" si="327"/>
        <v>-0.46272558464747515</v>
      </c>
      <c r="E711" s="307">
        <f t="shared" ca="1" si="328"/>
        <v>-3.881736834197131</v>
      </c>
      <c r="F711" s="304">
        <f t="shared" ca="1" si="329"/>
        <v>3.9092193359608403</v>
      </c>
      <c r="G711" s="306">
        <f t="shared" ca="1" si="330"/>
        <v>9.1445044652800913</v>
      </c>
      <c r="H711" s="307">
        <f t="shared" ca="1" si="331"/>
        <v>-118.13689280056832</v>
      </c>
      <c r="I711" s="304">
        <f t="shared" ca="1" si="332"/>
        <v>118.49028400037068</v>
      </c>
      <c r="J711" s="306">
        <f t="shared" ca="1" si="333"/>
        <v>517.37818067740295</v>
      </c>
      <c r="K711" s="307">
        <f t="shared" ca="1" si="334"/>
        <v>853.97121324789543</v>
      </c>
      <c r="L711" s="304">
        <f t="shared" ca="1" si="319"/>
        <v>998.47234057691446</v>
      </c>
      <c r="M711" s="306">
        <f t="shared" ca="1" si="335"/>
        <v>-1.4935443697497981</v>
      </c>
      <c r="N711" s="304">
        <f t="shared" ca="1" si="336"/>
        <v>-85.573788902189932</v>
      </c>
      <c r="P711" s="310">
        <f t="shared" ca="1" si="337"/>
        <v>23</v>
      </c>
      <c r="Q711" s="304">
        <f t="shared" ca="1" si="338"/>
        <v>0</v>
      </c>
      <c r="R711" s="306">
        <f t="shared" ca="1" si="339"/>
        <v>0</v>
      </c>
      <c r="S711" s="307">
        <f t="shared" ca="1" si="340"/>
        <v>6.1519999999999921</v>
      </c>
      <c r="T711" s="304">
        <f t="shared" ca="1" si="320"/>
        <v>60.351119999999923</v>
      </c>
      <c r="U711" s="311">
        <f t="shared" ca="1" si="321"/>
        <v>0</v>
      </c>
      <c r="V711" s="306">
        <f t="shared" ca="1" si="322"/>
        <v>1.1246723717002056</v>
      </c>
      <c r="W711" s="304">
        <f t="shared" ca="1" si="323"/>
        <v>36.863037785283204</v>
      </c>
      <c r="Y711" s="314" t="str">
        <f t="shared" ca="1" si="341"/>
        <v/>
      </c>
      <c r="Z711" s="315" t="str">
        <f t="shared" ca="1" si="342"/>
        <v/>
      </c>
      <c r="AA711" s="316" t="str">
        <f t="shared" ca="1" si="343"/>
        <v/>
      </c>
      <c r="AC711" s="310" t="e">
        <f t="shared" ca="1" si="344"/>
        <v>#N/A</v>
      </c>
      <c r="AD711" s="323" t="e">
        <f t="shared" ca="1" si="345"/>
        <v>#N/A</v>
      </c>
      <c r="AE711" s="324" t="e">
        <f t="shared" ca="1" si="324"/>
        <v>#N/A</v>
      </c>
      <c r="AG711" s="306">
        <f t="shared" ca="1" si="346"/>
        <v>3.8339578124040639</v>
      </c>
      <c r="AH711" s="304">
        <f t="shared" ca="1" si="347"/>
        <v>-5.9462945713866553</v>
      </c>
    </row>
    <row r="712" spans="1:34" x14ac:dyDescent="0.2">
      <c r="A712" s="347">
        <f t="shared" ca="1" si="325"/>
        <v>0.1</v>
      </c>
      <c r="B712" s="304">
        <f t="shared" ca="1" si="326"/>
        <v>34.800000000000182</v>
      </c>
      <c r="D712" s="306">
        <f t="shared" ca="1" si="327"/>
        <v>-0.46243663311089339</v>
      </c>
      <c r="E712" s="307">
        <f t="shared" ca="1" si="328"/>
        <v>-3.8358297034792894</v>
      </c>
      <c r="F712" s="304">
        <f t="shared" ca="1" si="329"/>
        <v>3.8636041662852776</v>
      </c>
      <c r="G712" s="306">
        <f t="shared" ca="1" si="330"/>
        <v>9.0982608019690012</v>
      </c>
      <c r="H712" s="307">
        <f t="shared" ca="1" si="331"/>
        <v>-118.52047577091625</v>
      </c>
      <c r="I712" s="304">
        <f t="shared" ca="1" si="332"/>
        <v>118.8691782026989</v>
      </c>
      <c r="J712" s="306">
        <f t="shared" ca="1" si="333"/>
        <v>518.29031894076536</v>
      </c>
      <c r="K712" s="307">
        <f t="shared" ca="1" si="334"/>
        <v>842.13834481932122</v>
      </c>
      <c r="L712" s="304">
        <f t="shared" ca="1" si="319"/>
        <v>988.84874805136212</v>
      </c>
      <c r="M712" s="306">
        <f t="shared" ca="1" si="335"/>
        <v>-1.4941812784954707</v>
      </c>
      <c r="N712" s="304">
        <f t="shared" ca="1" si="336"/>
        <v>-85.610281085251941</v>
      </c>
      <c r="P712" s="310">
        <f t="shared" ca="1" si="337"/>
        <v>23</v>
      </c>
      <c r="Q712" s="304">
        <f t="shared" ca="1" si="338"/>
        <v>0</v>
      </c>
      <c r="R712" s="306">
        <f t="shared" ca="1" si="339"/>
        <v>0</v>
      </c>
      <c r="S712" s="307">
        <f t="shared" ca="1" si="340"/>
        <v>6.1519999999999921</v>
      </c>
      <c r="T712" s="304">
        <f t="shared" ca="1" si="320"/>
        <v>60.351119999999923</v>
      </c>
      <c r="U712" s="311">
        <f t="shared" ca="1" si="321"/>
        <v>0</v>
      </c>
      <c r="V712" s="306">
        <f t="shared" ca="1" si="322"/>
        <v>1.1260063693718743</v>
      </c>
      <c r="W712" s="304">
        <f t="shared" ca="1" si="323"/>
        <v>37.14317133858961</v>
      </c>
      <c r="Y712" s="314" t="str">
        <f t="shared" ca="1" si="341"/>
        <v/>
      </c>
      <c r="Z712" s="315" t="str">
        <f t="shared" ca="1" si="342"/>
        <v/>
      </c>
      <c r="AA712" s="316" t="str">
        <f t="shared" ca="1" si="343"/>
        <v/>
      </c>
      <c r="AC712" s="310" t="e">
        <f t="shared" ca="1" si="344"/>
        <v>#N/A</v>
      </c>
      <c r="AD712" s="323" t="e">
        <f t="shared" ca="1" si="345"/>
        <v>#N/A</v>
      </c>
      <c r="AE712" s="324" t="e">
        <f t="shared" ca="1" si="324"/>
        <v>#N/A</v>
      </c>
      <c r="AG712" s="306">
        <f t="shared" ca="1" si="346"/>
        <v>3.7887009252452497</v>
      </c>
      <c r="AH712" s="304">
        <f t="shared" ca="1" si="347"/>
        <v>-5.9920412524842739</v>
      </c>
    </row>
    <row r="713" spans="1:34" x14ac:dyDescent="0.2">
      <c r="A713" s="347">
        <f t="shared" ca="1" si="325"/>
        <v>0.1</v>
      </c>
      <c r="B713" s="304">
        <f t="shared" ca="1" si="326"/>
        <v>34.900000000000183</v>
      </c>
      <c r="D713" s="306">
        <f t="shared" ca="1" si="327"/>
        <v>-0.46211682027503759</v>
      </c>
      <c r="E713" s="307">
        <f t="shared" ca="1" si="328"/>
        <v>-3.7901346001328751</v>
      </c>
      <c r="F713" s="304">
        <f t="shared" ca="1" si="329"/>
        <v>3.8182027503402045</v>
      </c>
      <c r="G713" s="306">
        <f t="shared" ca="1" si="330"/>
        <v>9.052049119941497</v>
      </c>
      <c r="H713" s="307">
        <f t="shared" ca="1" si="331"/>
        <v>-118.89948923092953</v>
      </c>
      <c r="I713" s="304">
        <f t="shared" ca="1" si="332"/>
        <v>119.24356642035561</v>
      </c>
      <c r="J713" s="306">
        <f t="shared" ca="1" si="333"/>
        <v>519.19783443686083</v>
      </c>
      <c r="K713" s="307">
        <f t="shared" ca="1" si="334"/>
        <v>830.26734656922895</v>
      </c>
      <c r="L713" s="304">
        <f t="shared" ca="1" si="319"/>
        <v>979.23963260431515</v>
      </c>
      <c r="M713" s="306">
        <f t="shared" ca="1" si="335"/>
        <v>-1.4948109632822375</v>
      </c>
      <c r="N713" s="304">
        <f t="shared" ca="1" si="336"/>
        <v>-85.646359365957281</v>
      </c>
      <c r="P713" s="310">
        <f t="shared" ca="1" si="337"/>
        <v>23</v>
      </c>
      <c r="Q713" s="304">
        <f t="shared" ca="1" si="338"/>
        <v>0</v>
      </c>
      <c r="R713" s="306">
        <f t="shared" ca="1" si="339"/>
        <v>0</v>
      </c>
      <c r="S713" s="307">
        <f t="shared" ca="1" si="340"/>
        <v>6.1519999999999921</v>
      </c>
      <c r="T713" s="304">
        <f t="shared" ca="1" si="320"/>
        <v>60.351119999999923</v>
      </c>
      <c r="U713" s="311">
        <f t="shared" ca="1" si="321"/>
        <v>0</v>
      </c>
      <c r="V713" s="306">
        <f t="shared" ca="1" si="322"/>
        <v>1.1273461885893827</v>
      </c>
      <c r="W713" s="304">
        <f t="shared" ca="1" si="323"/>
        <v>37.421985694459082</v>
      </c>
      <c r="Y713" s="314" t="str">
        <f t="shared" ca="1" si="341"/>
        <v/>
      </c>
      <c r="Z713" s="315" t="str">
        <f t="shared" ca="1" si="342"/>
        <v/>
      </c>
      <c r="AA713" s="316" t="str">
        <f t="shared" ca="1" si="343"/>
        <v/>
      </c>
      <c r="AC713" s="310" t="e">
        <f t="shared" ca="1" si="344"/>
        <v>#N/A</v>
      </c>
      <c r="AD713" s="323" t="e">
        <f t="shared" ca="1" si="345"/>
        <v>#N/A</v>
      </c>
      <c r="AE713" s="324" t="e">
        <f t="shared" ca="1" si="324"/>
        <v>#N/A</v>
      </c>
      <c r="AG713" s="306">
        <f t="shared" ca="1" si="346"/>
        <v>3.7436457744570921</v>
      </c>
      <c r="AH713" s="304">
        <f t="shared" ca="1" si="347"/>
        <v>-6.0375766155054711</v>
      </c>
    </row>
    <row r="714" spans="1:34" x14ac:dyDescent="0.2">
      <c r="A714" s="347">
        <f t="shared" ca="1" si="325"/>
        <v>0.1</v>
      </c>
      <c r="B714" s="304">
        <f t="shared" ca="1" si="326"/>
        <v>35.000000000000185</v>
      </c>
      <c r="D714" s="306">
        <f t="shared" ca="1" si="327"/>
        <v>-0.46176652559436354</v>
      </c>
      <c r="E714" s="307">
        <f t="shared" ca="1" si="328"/>
        <v>-3.7446546500550131</v>
      </c>
      <c r="F714" s="304">
        <f t="shared" ca="1" si="329"/>
        <v>3.7730182576205649</v>
      </c>
      <c r="G714" s="306">
        <f t="shared" ca="1" si="330"/>
        <v>9.0058724673820603</v>
      </c>
      <c r="H714" s="307">
        <f t="shared" ca="1" si="331"/>
        <v>-119.27395469593503</v>
      </c>
      <c r="I714" s="304">
        <f t="shared" ca="1" si="332"/>
        <v>119.61346917344514</v>
      </c>
      <c r="J714" s="306">
        <f t="shared" ca="1" si="333"/>
        <v>520.10073051622703</v>
      </c>
      <c r="K714" s="307">
        <f t="shared" ca="1" si="334"/>
        <v>818.35867437288573</v>
      </c>
      <c r="L714" s="304">
        <f t="shared" ca="1" si="319"/>
        <v>969.64719862683035</v>
      </c>
      <c r="M714" s="306">
        <f t="shared" ca="1" si="335"/>
        <v>-1.4954335514950838</v>
      </c>
      <c r="N714" s="304">
        <f t="shared" ca="1" si="336"/>
        <v>-85.68203104292796</v>
      </c>
      <c r="P714" s="310">
        <f t="shared" ca="1" si="337"/>
        <v>23</v>
      </c>
      <c r="Q714" s="304">
        <f t="shared" ca="1" si="338"/>
        <v>0</v>
      </c>
      <c r="R714" s="306">
        <f t="shared" ca="1" si="339"/>
        <v>0</v>
      </c>
      <c r="S714" s="307">
        <f t="shared" ca="1" si="340"/>
        <v>6.1519999999999921</v>
      </c>
      <c r="T714" s="304">
        <f t="shared" ca="1" si="320"/>
        <v>60.351119999999923</v>
      </c>
      <c r="U714" s="311">
        <f t="shared" ca="1" si="321"/>
        <v>0</v>
      </c>
      <c r="V714" s="306">
        <f t="shared" ca="1" si="322"/>
        <v>1.1286917951326456</v>
      </c>
      <c r="W714" s="304">
        <f t="shared" ca="1" si="323"/>
        <v>37.699462218871851</v>
      </c>
      <c r="Y714" s="314" t="str">
        <f t="shared" ca="1" si="341"/>
        <v/>
      </c>
      <c r="Z714" s="315" t="str">
        <f t="shared" ca="1" si="342"/>
        <v/>
      </c>
      <c r="AA714" s="316" t="str">
        <f t="shared" ca="1" si="343"/>
        <v/>
      </c>
      <c r="AC714" s="310">
        <f t="shared" ca="1" si="344"/>
        <v>35.000000000000185</v>
      </c>
      <c r="AD714" s="323">
        <f t="shared" ca="1" si="345"/>
        <v>520.10073051622703</v>
      </c>
      <c r="AE714" s="324" t="e">
        <f t="shared" ca="1" si="324"/>
        <v>#N/A</v>
      </c>
      <c r="AG714" s="306">
        <f t="shared" ca="1" si="346"/>
        <v>3.6987957103809848</v>
      </c>
      <c r="AH714" s="304">
        <f t="shared" ca="1" si="347"/>
        <v>-6.082897544612992</v>
      </c>
    </row>
    <row r="715" spans="1:34" x14ac:dyDescent="0.2">
      <c r="A715" s="347">
        <f t="shared" ca="1" si="325"/>
        <v>0.1</v>
      </c>
      <c r="B715" s="304">
        <f t="shared" ca="1" si="326"/>
        <v>35.100000000000186</v>
      </c>
      <c r="D715" s="306">
        <f t="shared" ca="1" si="327"/>
        <v>-0.46138612954915581</v>
      </c>
      <c r="E715" s="307">
        <f t="shared" ca="1" si="328"/>
        <v>-3.6993928919719687</v>
      </c>
      <c r="F715" s="304">
        <f t="shared" ca="1" si="329"/>
        <v>3.7280537723741429</v>
      </c>
      <c r="G715" s="306">
        <f t="shared" ca="1" si="330"/>
        <v>8.9597338544271441</v>
      </c>
      <c r="H715" s="307">
        <f t="shared" ca="1" si="331"/>
        <v>-119.64389398513222</v>
      </c>
      <c r="I715" s="304">
        <f t="shared" ca="1" si="332"/>
        <v>119.97890730735851</v>
      </c>
      <c r="J715" s="306">
        <f t="shared" ca="1" si="333"/>
        <v>520.99901083231748</v>
      </c>
      <c r="K715" s="307">
        <f t="shared" ca="1" si="334"/>
        <v>806.41278193883238</v>
      </c>
      <c r="L715" s="304">
        <f t="shared" ca="1" si="319"/>
        <v>960.0737180876165</v>
      </c>
      <c r="M715" s="306">
        <f t="shared" ca="1" si="335"/>
        <v>-1.496049167409842</v>
      </c>
      <c r="N715" s="304">
        <f t="shared" ca="1" si="336"/>
        <v>-85.717303236644682</v>
      </c>
      <c r="P715" s="310">
        <f t="shared" ca="1" si="337"/>
        <v>23</v>
      </c>
      <c r="Q715" s="304">
        <f t="shared" ca="1" si="338"/>
        <v>0</v>
      </c>
      <c r="R715" s="306">
        <f t="shared" ca="1" si="339"/>
        <v>0</v>
      </c>
      <c r="S715" s="307">
        <f t="shared" ca="1" si="340"/>
        <v>6.1519999999999921</v>
      </c>
      <c r="T715" s="304">
        <f t="shared" ca="1" si="320"/>
        <v>60.351119999999923</v>
      </c>
      <c r="U715" s="311">
        <f t="shared" ca="1" si="321"/>
        <v>0</v>
      </c>
      <c r="V715" s="306">
        <f t="shared" ca="1" si="322"/>
        <v>1.1300431548938041</v>
      </c>
      <c r="W715" s="304">
        <f t="shared" ca="1" si="323"/>
        <v>37.975582809148229</v>
      </c>
      <c r="Y715" s="314" t="str">
        <f t="shared" ca="1" si="341"/>
        <v/>
      </c>
      <c r="Z715" s="315" t="str">
        <f t="shared" ca="1" si="342"/>
        <v/>
      </c>
      <c r="AA715" s="316" t="str">
        <f t="shared" ca="1" si="343"/>
        <v/>
      </c>
      <c r="AC715" s="310" t="e">
        <f t="shared" ca="1" si="344"/>
        <v>#N/A</v>
      </c>
      <c r="AD715" s="323" t="e">
        <f t="shared" ca="1" si="345"/>
        <v>#N/A</v>
      </c>
      <c r="AE715" s="324" t="e">
        <f t="shared" ca="1" si="324"/>
        <v>#N/A</v>
      </c>
      <c r="AG715" s="306">
        <f t="shared" ca="1" si="346"/>
        <v>3.6541539893370594</v>
      </c>
      <c r="AH715" s="304">
        <f t="shared" ca="1" si="347"/>
        <v>-6.1280010108699443</v>
      </c>
    </row>
    <row r="716" spans="1:34" x14ac:dyDescent="0.2">
      <c r="A716" s="347">
        <f t="shared" ca="1" si="325"/>
        <v>0.1</v>
      </c>
      <c r="B716" s="304">
        <f t="shared" ca="1" si="326"/>
        <v>35.200000000000188</v>
      </c>
      <c r="D716" s="306">
        <f t="shared" ca="1" si="327"/>
        <v>-0.46097601351754497</v>
      </c>
      <c r="E716" s="307">
        <f t="shared" ca="1" si="328"/>
        <v>-3.6543522779719488</v>
      </c>
      <c r="F716" s="304">
        <f t="shared" ca="1" si="329"/>
        <v>3.6833122941935428</v>
      </c>
      <c r="G716" s="306">
        <f t="shared" ca="1" si="330"/>
        <v>8.9136362530753903</v>
      </c>
      <c r="H716" s="307">
        <f t="shared" ca="1" si="331"/>
        <v>-120.00932921292942</v>
      </c>
      <c r="I716" s="304">
        <f t="shared" ca="1" si="332"/>
        <v>120.33990198346271</v>
      </c>
      <c r="J716" s="306">
        <f t="shared" ca="1" si="333"/>
        <v>521.89267933769258</v>
      </c>
      <c r="K716" s="307">
        <f t="shared" ca="1" si="334"/>
        <v>794.43012077892934</v>
      </c>
      <c r="L716" s="304">
        <f t="shared" ca="1" si="319"/>
        <v>950.52153344734904</v>
      </c>
      <c r="M716" s="306">
        <f t="shared" ca="1" si="335"/>
        <v>-1.4966579322869766</v>
      </c>
      <c r="N716" s="304">
        <f t="shared" ca="1" si="336"/>
        <v>-85.752182894820308</v>
      </c>
      <c r="P716" s="310">
        <f t="shared" ca="1" si="337"/>
        <v>23</v>
      </c>
      <c r="Q716" s="304">
        <f t="shared" ca="1" si="338"/>
        <v>0</v>
      </c>
      <c r="R716" s="306">
        <f t="shared" ca="1" si="339"/>
        <v>0</v>
      </c>
      <c r="S716" s="307">
        <f t="shared" ca="1" si="340"/>
        <v>6.1519999999999921</v>
      </c>
      <c r="T716" s="304">
        <f t="shared" ca="1" si="320"/>
        <v>60.351119999999923</v>
      </c>
      <c r="U716" s="311">
        <f t="shared" ca="1" si="321"/>
        <v>0</v>
      </c>
      <c r="V716" s="306">
        <f t="shared" ca="1" si="322"/>
        <v>1.1314002338797702</v>
      </c>
      <c r="W716" s="304">
        <f t="shared" ca="1" si="323"/>
        <v>38.250329890529592</v>
      </c>
      <c r="Y716" s="314" t="str">
        <f t="shared" ca="1" si="341"/>
        <v/>
      </c>
      <c r="Z716" s="315" t="str">
        <f t="shared" ca="1" si="342"/>
        <v/>
      </c>
      <c r="AA716" s="316" t="str">
        <f t="shared" ca="1" si="343"/>
        <v/>
      </c>
      <c r="AC716" s="310" t="e">
        <f t="shared" ca="1" si="344"/>
        <v>#N/A</v>
      </c>
      <c r="AD716" s="323" t="e">
        <f t="shared" ca="1" si="345"/>
        <v>#N/A</v>
      </c>
      <c r="AE716" s="324" t="e">
        <f t="shared" ca="1" si="324"/>
        <v>#N/A</v>
      </c>
      <c r="AG716" s="306">
        <f t="shared" ca="1" si="346"/>
        <v>3.6097237744142046</v>
      </c>
      <c r="AH716" s="304">
        <f t="shared" ca="1" si="347"/>
        <v>-6.1728840717081077</v>
      </c>
    </row>
    <row r="717" spans="1:34" x14ac:dyDescent="0.2">
      <c r="A717" s="347">
        <f t="shared" ca="1" si="325"/>
        <v>0.1</v>
      </c>
      <c r="B717" s="304">
        <f t="shared" ca="1" si="326"/>
        <v>35.300000000000189</v>
      </c>
      <c r="D717" s="306">
        <f t="shared" ca="1" si="327"/>
        <v>-0.46053655964961793</v>
      </c>
      <c r="E717" s="307">
        <f t="shared" ca="1" si="328"/>
        <v>-3.6095356740620845</v>
      </c>
      <c r="F717" s="304">
        <f t="shared" ca="1" si="329"/>
        <v>3.6387967386350026</v>
      </c>
      <c r="G717" s="306">
        <f t="shared" ca="1" si="330"/>
        <v>8.8675825971104292</v>
      </c>
      <c r="H717" s="307">
        <f t="shared" ca="1" si="331"/>
        <v>-120.37028278033563</v>
      </c>
      <c r="I717" s="304">
        <f t="shared" ca="1" si="332"/>
        <v>120.69647466986987</v>
      </c>
      <c r="J717" s="306">
        <f t="shared" ca="1" si="333"/>
        <v>522.78174028020192</v>
      </c>
      <c r="K717" s="307">
        <f t="shared" ca="1" si="334"/>
        <v>782.41114017926611</v>
      </c>
      <c r="L717" s="304">
        <f t="shared" ca="1" si="319"/>
        <v>940.99306067952261</v>
      </c>
      <c r="M717" s="306">
        <f t="shared" ca="1" si="335"/>
        <v>-1.4972599644620208</v>
      </c>
      <c r="N717" s="304">
        <f t="shared" ca="1" si="336"/>
        <v>-85.786676797581421</v>
      </c>
      <c r="P717" s="310">
        <f t="shared" ca="1" si="337"/>
        <v>23</v>
      </c>
      <c r="Q717" s="304">
        <f t="shared" ca="1" si="338"/>
        <v>0</v>
      </c>
      <c r="R717" s="306">
        <f t="shared" ca="1" si="339"/>
        <v>0</v>
      </c>
      <c r="S717" s="307">
        <f t="shared" ca="1" si="340"/>
        <v>6.1519999999999921</v>
      </c>
      <c r="T717" s="304">
        <f t="shared" ca="1" si="320"/>
        <v>60.351119999999923</v>
      </c>
      <c r="U717" s="311">
        <f t="shared" ca="1" si="321"/>
        <v>0</v>
      </c>
      <c r="V717" s="306">
        <f t="shared" ca="1" si="322"/>
        <v>1.1327629982147172</v>
      </c>
      <c r="W717" s="304">
        <f t="shared" ca="1" si="323"/>
        <v>38.523686412615717</v>
      </c>
      <c r="Y717" s="314" t="str">
        <f t="shared" ca="1" si="341"/>
        <v/>
      </c>
      <c r="Z717" s="315" t="str">
        <f t="shared" ca="1" si="342"/>
        <v/>
      </c>
      <c r="AA717" s="316" t="str">
        <f t="shared" ca="1" si="343"/>
        <v/>
      </c>
      <c r="AC717" s="310" t="e">
        <f t="shared" ca="1" si="344"/>
        <v>#N/A</v>
      </c>
      <c r="AD717" s="323" t="e">
        <f t="shared" ca="1" si="345"/>
        <v>#N/A</v>
      </c>
      <c r="AE717" s="324" t="e">
        <f t="shared" ca="1" si="324"/>
        <v>#N/A</v>
      </c>
      <c r="AG717" s="306">
        <f t="shared" ca="1" si="346"/>
        <v>3.5655081362733219</v>
      </c>
      <c r="AH717" s="304">
        <f t="shared" ca="1" si="347"/>
        <v>-6.2175438703721779</v>
      </c>
    </row>
    <row r="718" spans="1:34" x14ac:dyDescent="0.2">
      <c r="A718" s="347">
        <f t="shared" ca="1" si="325"/>
        <v>0.1</v>
      </c>
      <c r="B718" s="304">
        <f t="shared" ca="1" si="326"/>
        <v>35.40000000000019</v>
      </c>
      <c r="D718" s="306">
        <f t="shared" ca="1" si="327"/>
        <v>-0.46006815074362289</v>
      </c>
      <c r="E718" s="307">
        <f t="shared" ca="1" si="328"/>
        <v>-3.5649458607488445</v>
      </c>
      <c r="F718" s="304">
        <f t="shared" ca="1" si="329"/>
        <v>3.5945099378634322</v>
      </c>
      <c r="G718" s="306">
        <f t="shared" ca="1" si="330"/>
        <v>8.8215757820360672</v>
      </c>
      <c r="H718" s="307">
        <f t="shared" ca="1" si="331"/>
        <v>-120.72677736641052</v>
      </c>
      <c r="I718" s="304">
        <f t="shared" ca="1" si="332"/>
        <v>121.0486471322875</v>
      </c>
      <c r="J718" s="306">
        <f t="shared" ca="1" si="333"/>
        <v>523.66619819915923</v>
      </c>
      <c r="K718" s="307">
        <f t="shared" ca="1" si="334"/>
        <v>770.35628717192878</v>
      </c>
      <c r="L718" s="304">
        <f t="shared" ca="1" si="319"/>
        <v>931.49079239769208</v>
      </c>
      <c r="M718" s="306">
        <f t="shared" ca="1" si="335"/>
        <v>-1.4978553794327951</v>
      </c>
      <c r="N718" s="304">
        <f t="shared" ca="1" si="336"/>
        <v>-85.820791562465686</v>
      </c>
      <c r="P718" s="310">
        <f t="shared" ca="1" si="337"/>
        <v>23</v>
      </c>
      <c r="Q718" s="304">
        <f t="shared" ca="1" si="338"/>
        <v>0</v>
      </c>
      <c r="R718" s="306">
        <f t="shared" ca="1" si="339"/>
        <v>0</v>
      </c>
      <c r="S718" s="307">
        <f t="shared" ca="1" si="340"/>
        <v>6.1519999999999921</v>
      </c>
      <c r="T718" s="304">
        <f t="shared" ca="1" si="320"/>
        <v>60.351119999999923</v>
      </c>
      <c r="U718" s="311">
        <f t="shared" ca="1" si="321"/>
        <v>0</v>
      </c>
      <c r="V718" s="306">
        <f t="shared" ca="1" si="322"/>
        <v>1.1341314141425252</v>
      </c>
      <c r="W718" s="304">
        <f t="shared" ca="1" si="323"/>
        <v>38.795635845663504</v>
      </c>
      <c r="Y718" s="314" t="str">
        <f t="shared" ca="1" si="341"/>
        <v/>
      </c>
      <c r="Z718" s="315" t="str">
        <f t="shared" ca="1" si="342"/>
        <v/>
      </c>
      <c r="AA718" s="316" t="str">
        <f t="shared" ca="1" si="343"/>
        <v/>
      </c>
      <c r="AC718" s="310" t="e">
        <f t="shared" ca="1" si="344"/>
        <v>#N/A</v>
      </c>
      <c r="AD718" s="323" t="e">
        <f t="shared" ca="1" si="345"/>
        <v>#N/A</v>
      </c>
      <c r="AE718" s="324" t="e">
        <f t="shared" ca="1" si="324"/>
        <v>#N/A</v>
      </c>
      <c r="AG718" s="306">
        <f t="shared" ca="1" si="346"/>
        <v>3.5215100539635715</v>
      </c>
      <c r="AH718" s="304">
        <f t="shared" ca="1" si="347"/>
        <v>-6.2619776353406644</v>
      </c>
    </row>
    <row r="719" spans="1:34" x14ac:dyDescent="0.2">
      <c r="A719" s="347">
        <f t="shared" ca="1" si="325"/>
        <v>0.1</v>
      </c>
      <c r="B719" s="304">
        <f t="shared" ca="1" si="326"/>
        <v>35.500000000000192</v>
      </c>
      <c r="D719" s="306">
        <f t="shared" ca="1" si="327"/>
        <v>-0.45957117012431503</v>
      </c>
      <c r="E719" s="307">
        <f t="shared" ca="1" si="328"/>
        <v>-3.5205855336410989</v>
      </c>
      <c r="F719" s="304">
        <f t="shared" ca="1" si="329"/>
        <v>3.5504546413230536</v>
      </c>
      <c r="G719" s="306">
        <f t="shared" ca="1" si="330"/>
        <v>8.7756186650236359</v>
      </c>
      <c r="H719" s="307">
        <f t="shared" ca="1" si="331"/>
        <v>-121.07883591977463</v>
      </c>
      <c r="I719" s="304">
        <f t="shared" ca="1" si="332"/>
        <v>121.39644142495125</v>
      </c>
      <c r="J719" s="306">
        <f t="shared" ca="1" si="333"/>
        <v>524.54605792151222</v>
      </c>
      <c r="K719" s="307">
        <f t="shared" ca="1" si="334"/>
        <v>758.26600650761952</v>
      </c>
      <c r="L719" s="304">
        <f t="shared" ca="1" si="319"/>
        <v>922.01730108822346</v>
      </c>
      <c r="M719" s="306">
        <f t="shared" ca="1" si="335"/>
        <v>-1.4984442899435488</v>
      </c>
      <c r="N719" s="304">
        <f t="shared" ca="1" si="336"/>
        <v>-85.854533649242768</v>
      </c>
      <c r="P719" s="310">
        <f t="shared" ca="1" si="337"/>
        <v>23</v>
      </c>
      <c r="Q719" s="304">
        <f t="shared" ca="1" si="338"/>
        <v>0</v>
      </c>
      <c r="R719" s="306">
        <f t="shared" ca="1" si="339"/>
        <v>0</v>
      </c>
      <c r="S719" s="307">
        <f t="shared" ca="1" si="340"/>
        <v>6.1519999999999921</v>
      </c>
      <c r="T719" s="304">
        <f t="shared" ca="1" si="320"/>
        <v>60.351119999999923</v>
      </c>
      <c r="U719" s="311">
        <f t="shared" ca="1" si="321"/>
        <v>0</v>
      </c>
      <c r="V719" s="306">
        <f t="shared" ca="1" si="322"/>
        <v>1.135505448029172</v>
      </c>
      <c r="W719" s="304">
        <f t="shared" ca="1" si="323"/>
        <v>39.066162176751718</v>
      </c>
      <c r="Y719" s="314" t="str">
        <f t="shared" ca="1" si="341"/>
        <v/>
      </c>
      <c r="Z719" s="315" t="str">
        <f t="shared" ca="1" si="342"/>
        <v/>
      </c>
      <c r="AA719" s="316" t="str">
        <f t="shared" ca="1" si="343"/>
        <v/>
      </c>
      <c r="AC719" s="310" t="e">
        <f t="shared" ca="1" si="344"/>
        <v>#N/A</v>
      </c>
      <c r="AD719" s="323" t="e">
        <f t="shared" ca="1" si="345"/>
        <v>#N/A</v>
      </c>
      <c r="AE719" s="324" t="e">
        <f t="shared" ca="1" si="324"/>
        <v>#N/A</v>
      </c>
      <c r="AG719" s="306">
        <f t="shared" ca="1" si="346"/>
        <v>3.4777324157513583</v>
      </c>
      <c r="AH719" s="304">
        <f t="shared" ca="1" si="347"/>
        <v>-6.3061826797242446</v>
      </c>
    </row>
    <row r="720" spans="1:34" x14ac:dyDescent="0.2">
      <c r="A720" s="347">
        <f t="shared" ca="1" si="325"/>
        <v>0.1</v>
      </c>
      <c r="B720" s="304">
        <f t="shared" ca="1" si="326"/>
        <v>35.600000000000193</v>
      </c>
      <c r="D720" s="306">
        <f t="shared" ca="1" si="327"/>
        <v>-0.45904600152342395</v>
      </c>
      <c r="E720" s="307">
        <f t="shared" ca="1" si="328"/>
        <v>-3.4764573040750397</v>
      </c>
      <c r="F720" s="304">
        <f t="shared" ca="1" si="329"/>
        <v>3.50663351643301</v>
      </c>
      <c r="G720" s="306">
        <f t="shared" ca="1" si="330"/>
        <v>8.7297140648712936</v>
      </c>
      <c r="H720" s="307">
        <f t="shared" ca="1" si="331"/>
        <v>-121.42648165018214</v>
      </c>
      <c r="I720" s="304">
        <f t="shared" ca="1" si="332"/>
        <v>121.73987988164122</v>
      </c>
      <c r="J720" s="306">
        <f t="shared" ca="1" si="333"/>
        <v>525.42132455800697</v>
      </c>
      <c r="K720" s="307">
        <f t="shared" ca="1" si="334"/>
        <v>746.14074062912164</v>
      </c>
      <c r="L720" s="304">
        <f t="shared" ca="1" si="319"/>
        <v>912.57524244681576</v>
      </c>
      <c r="M720" s="306">
        <f t="shared" ca="1" si="335"/>
        <v>-1.4990268060661447</v>
      </c>
      <c r="N720" s="304">
        <f t="shared" ca="1" si="336"/>
        <v>-85.887909364565843</v>
      </c>
      <c r="P720" s="310">
        <f t="shared" ca="1" si="337"/>
        <v>23</v>
      </c>
      <c r="Q720" s="304">
        <f t="shared" ca="1" si="338"/>
        <v>0</v>
      </c>
      <c r="R720" s="306">
        <f t="shared" ca="1" si="339"/>
        <v>0</v>
      </c>
      <c r="S720" s="307">
        <f t="shared" ca="1" si="340"/>
        <v>6.1519999999999921</v>
      </c>
      <c r="T720" s="304">
        <f t="shared" ca="1" si="320"/>
        <v>60.351119999999923</v>
      </c>
      <c r="U720" s="311">
        <f t="shared" ca="1" si="321"/>
        <v>0</v>
      </c>
      <c r="V720" s="306">
        <f t="shared" ca="1" si="322"/>
        <v>1.1368850663650751</v>
      </c>
      <c r="W720" s="304">
        <f t="shared" ca="1" si="323"/>
        <v>39.335249905816383</v>
      </c>
      <c r="Y720" s="314" t="str">
        <f t="shared" ca="1" si="341"/>
        <v/>
      </c>
      <c r="Z720" s="315" t="str">
        <f t="shared" ca="1" si="342"/>
        <v/>
      </c>
      <c r="AA720" s="316" t="str">
        <f t="shared" ca="1" si="343"/>
        <v/>
      </c>
      <c r="AC720" s="310" t="e">
        <f t="shared" ca="1" si="344"/>
        <v>#N/A</v>
      </c>
      <c r="AD720" s="323" t="e">
        <f t="shared" ca="1" si="345"/>
        <v>#N/A</v>
      </c>
      <c r="AE720" s="324" t="e">
        <f t="shared" ca="1" si="324"/>
        <v>#N/A</v>
      </c>
      <c r="AG720" s="306">
        <f t="shared" ca="1" si="346"/>
        <v>3.4341780199616565</v>
      </c>
      <c r="AH720" s="304">
        <f t="shared" ca="1" si="347"/>
        <v>-6.350156400642355</v>
      </c>
    </row>
    <row r="721" spans="1:34" x14ac:dyDescent="0.2">
      <c r="A721" s="347">
        <f t="shared" ca="1" si="325"/>
        <v>0.1</v>
      </c>
      <c r="B721" s="304">
        <f t="shared" ca="1" si="326"/>
        <v>35.700000000000195</v>
      </c>
      <c r="D721" s="306">
        <f t="shared" ca="1" si="327"/>
        <v>-0.4584930289622734</v>
      </c>
      <c r="E721" s="307">
        <f t="shared" ca="1" si="328"/>
        <v>-3.432563699760216</v>
      </c>
      <c r="F721" s="304">
        <f t="shared" ca="1" si="329"/>
        <v>3.4630491493073765</v>
      </c>
      <c r="G721" s="306">
        <f t="shared" ca="1" si="330"/>
        <v>8.683864761975066</v>
      </c>
      <c r="H721" s="307">
        <f t="shared" ca="1" si="331"/>
        <v>-121.76973802015816</v>
      </c>
      <c r="I721" s="304">
        <f t="shared" ca="1" si="332"/>
        <v>122.07898510678332</v>
      </c>
      <c r="J721" s="306">
        <f t="shared" ca="1" si="333"/>
        <v>526.29200349934933</v>
      </c>
      <c r="K721" s="307">
        <f t="shared" ca="1" si="334"/>
        <v>733.98092964560465</v>
      </c>
      <c r="L721" s="304">
        <f t="shared" ca="1" si="319"/>
        <v>903.16735881606417</v>
      </c>
      <c r="M721" s="306">
        <f t="shared" ca="1" si="335"/>
        <v>-1.4996030352784075</v>
      </c>
      <c r="N721" s="304">
        <f t="shared" ca="1" si="336"/>
        <v>-85.920924866460652</v>
      </c>
      <c r="P721" s="310">
        <f t="shared" ca="1" si="337"/>
        <v>23</v>
      </c>
      <c r="Q721" s="304">
        <f t="shared" ca="1" si="338"/>
        <v>0</v>
      </c>
      <c r="R721" s="306">
        <f t="shared" ca="1" si="339"/>
        <v>0</v>
      </c>
      <c r="S721" s="307">
        <f t="shared" ca="1" si="340"/>
        <v>6.1519999999999921</v>
      </c>
      <c r="T721" s="304">
        <f t="shared" ca="1" si="320"/>
        <v>60.351119999999923</v>
      </c>
      <c r="U721" s="311">
        <f t="shared" ca="1" si="321"/>
        <v>0</v>
      </c>
      <c r="V721" s="306">
        <f t="shared" ca="1" si="322"/>
        <v>1.1382702357673837</v>
      </c>
      <c r="W721" s="304">
        <f t="shared" ca="1" si="323"/>
        <v>39.602884041561637</v>
      </c>
      <c r="Y721" s="314" t="str">
        <f t="shared" ca="1" si="341"/>
        <v/>
      </c>
      <c r="Z721" s="315" t="str">
        <f t="shared" ca="1" si="342"/>
        <v/>
      </c>
      <c r="AA721" s="316" t="str">
        <f t="shared" ca="1" si="343"/>
        <v/>
      </c>
      <c r="AC721" s="310" t="e">
        <f t="shared" ca="1" si="344"/>
        <v>#N/A</v>
      </c>
      <c r="AD721" s="323" t="e">
        <f t="shared" ca="1" si="345"/>
        <v>#N/A</v>
      </c>
      <c r="AE721" s="324" t="e">
        <f t="shared" ca="1" si="324"/>
        <v>#N/A</v>
      </c>
      <c r="AG721" s="306">
        <f t="shared" ca="1" si="346"/>
        <v>3.3908495758314743</v>
      </c>
      <c r="AH721" s="304">
        <f t="shared" ca="1" si="347"/>
        <v>-6.3938962785787439</v>
      </c>
    </row>
    <row r="722" spans="1:34" x14ac:dyDescent="0.2">
      <c r="A722" s="347">
        <f t="shared" ca="1" si="325"/>
        <v>0.1</v>
      </c>
      <c r="B722" s="304">
        <f t="shared" ca="1" si="326"/>
        <v>35.800000000000196</v>
      </c>
      <c r="D722" s="306">
        <f t="shared" ca="1" si="327"/>
        <v>-0.45791263663656806</v>
      </c>
      <c r="E722" s="307">
        <f t="shared" ca="1" si="328"/>
        <v>-3.3889071654459109</v>
      </c>
      <c r="F722" s="304">
        <f t="shared" ca="1" si="329"/>
        <v>3.4197040454989804</v>
      </c>
      <c r="G722" s="306">
        <f t="shared" ca="1" si="330"/>
        <v>8.6380734983114085</v>
      </c>
      <c r="H722" s="307">
        <f t="shared" ca="1" si="331"/>
        <v>-122.10862873670276</v>
      </c>
      <c r="I722" s="304">
        <f t="shared" ca="1" si="332"/>
        <v>122.41377996663668</v>
      </c>
      <c r="J722" s="306">
        <f t="shared" ca="1" si="333"/>
        <v>527.15810041236364</v>
      </c>
      <c r="K722" s="307">
        <f t="shared" ca="1" si="334"/>
        <v>721.78701130776165</v>
      </c>
      <c r="L722" s="304">
        <f t="shared" ca="1" si="319"/>
        <v>893.79648272017857</v>
      </c>
      <c r="M722" s="306">
        <f t="shared" ca="1" si="335"/>
        <v>-1.5001730825397548</v>
      </c>
      <c r="N722" s="304">
        <f t="shared" ca="1" si="336"/>
        <v>-85.953586168658845</v>
      </c>
      <c r="P722" s="310">
        <f t="shared" ca="1" si="337"/>
        <v>23</v>
      </c>
      <c r="Q722" s="304">
        <f t="shared" ca="1" si="338"/>
        <v>0</v>
      </c>
      <c r="R722" s="306">
        <f t="shared" ca="1" si="339"/>
        <v>0</v>
      </c>
      <c r="S722" s="307">
        <f t="shared" ca="1" si="340"/>
        <v>6.1519999999999921</v>
      </c>
      <c r="T722" s="304">
        <f t="shared" ca="1" si="320"/>
        <v>60.351119999999923</v>
      </c>
      <c r="U722" s="311">
        <f t="shared" ca="1" si="321"/>
        <v>0</v>
      </c>
      <c r="V722" s="306">
        <f t="shared" ca="1" si="322"/>
        <v>1.1396609229822205</v>
      </c>
      <c r="W722" s="304">
        <f t="shared" ca="1" si="323"/>
        <v>39.869050097250629</v>
      </c>
      <c r="Y722" s="314" t="str">
        <f t="shared" ca="1" si="341"/>
        <v/>
      </c>
      <c r="Z722" s="315" t="str">
        <f t="shared" ca="1" si="342"/>
        <v/>
      </c>
      <c r="AA722" s="316" t="str">
        <f t="shared" ca="1" si="343"/>
        <v/>
      </c>
      <c r="AC722" s="310" t="e">
        <f t="shared" ca="1" si="344"/>
        <v>#N/A</v>
      </c>
      <c r="AD722" s="323" t="e">
        <f t="shared" ca="1" si="345"/>
        <v>#N/A</v>
      </c>
      <c r="AE722" s="324" t="e">
        <f t="shared" ca="1" si="324"/>
        <v>#N/A</v>
      </c>
      <c r="AG722" s="306">
        <f t="shared" ca="1" si="346"/>
        <v>3.3477497043749995</v>
      </c>
      <c r="AH722" s="304">
        <f t="shared" ca="1" si="347"/>
        <v>-6.437399876716789</v>
      </c>
    </row>
    <row r="723" spans="1:34" x14ac:dyDescent="0.2">
      <c r="A723" s="347">
        <f t="shared" ca="1" si="325"/>
        <v>0.1</v>
      </c>
      <c r="B723" s="304">
        <f t="shared" ca="1" si="326"/>
        <v>35.900000000000198</v>
      </c>
      <c r="D723" s="306">
        <f t="shared" ca="1" si="327"/>
        <v>-0.4573052088033327</v>
      </c>
      <c r="E723" s="307">
        <f t="shared" ca="1" si="328"/>
        <v>-3.3454900636070839</v>
      </c>
      <c r="F723" s="304">
        <f t="shared" ca="1" si="329"/>
        <v>3.37660063076645</v>
      </c>
      <c r="G723" s="306">
        <f t="shared" ca="1" si="330"/>
        <v>8.5923429774310751</v>
      </c>
      <c r="H723" s="307">
        <f t="shared" ca="1" si="331"/>
        <v>-122.44317774306346</v>
      </c>
      <c r="I723" s="304">
        <f t="shared" ca="1" si="332"/>
        <v>122.74428758056824</v>
      </c>
      <c r="J723" s="306">
        <f t="shared" ca="1" si="333"/>
        <v>528.01962123615078</v>
      </c>
      <c r="K723" s="307">
        <f t="shared" ca="1" si="334"/>
        <v>709.55942098377329</v>
      </c>
      <c r="L723" s="304">
        <f t="shared" ca="1" si="319"/>
        <v>884.46554049165525</v>
      </c>
      <c r="M723" s="306">
        <f t="shared" ca="1" si="335"/>
        <v>-1.5007370503642146</v>
      </c>
      <c r="N723" s="304">
        <f t="shared" ca="1" si="336"/>
        <v>-85.985899144781555</v>
      </c>
      <c r="P723" s="310">
        <f t="shared" ca="1" si="337"/>
        <v>23</v>
      </c>
      <c r="Q723" s="304">
        <f t="shared" ca="1" si="338"/>
        <v>0</v>
      </c>
      <c r="R723" s="306">
        <f t="shared" ca="1" si="339"/>
        <v>0</v>
      </c>
      <c r="S723" s="307">
        <f t="shared" ca="1" si="340"/>
        <v>6.1519999999999921</v>
      </c>
      <c r="T723" s="304">
        <f t="shared" ca="1" si="320"/>
        <v>60.351119999999923</v>
      </c>
      <c r="U723" s="311">
        <f t="shared" ca="1" si="321"/>
        <v>0</v>
      </c>
      <c r="V723" s="306">
        <f t="shared" ca="1" si="322"/>
        <v>1.1410570948868761</v>
      </c>
      <c r="W723" s="304">
        <f t="shared" ca="1" si="323"/>
        <v>40.133734086381097</v>
      </c>
      <c r="Y723" s="314" t="str">
        <f t="shared" ca="1" si="341"/>
        <v/>
      </c>
      <c r="Z723" s="315" t="str">
        <f t="shared" ca="1" si="342"/>
        <v/>
      </c>
      <c r="AA723" s="316" t="str">
        <f t="shared" ca="1" si="343"/>
        <v/>
      </c>
      <c r="AC723" s="310" t="e">
        <f t="shared" ca="1" si="344"/>
        <v>#N/A</v>
      </c>
      <c r="AD723" s="323" t="e">
        <f t="shared" ca="1" si="345"/>
        <v>#N/A</v>
      </c>
      <c r="AE723" s="324" t="e">
        <f t="shared" ca="1" si="324"/>
        <v>#N/A</v>
      </c>
      <c r="AG723" s="306">
        <f t="shared" ca="1" si="346"/>
        <v>3.3048809392601344</v>
      </c>
      <c r="AH723" s="304">
        <f t="shared" ca="1" si="347"/>
        <v>-6.4806648402553124</v>
      </c>
    </row>
    <row r="724" spans="1:34" x14ac:dyDescent="0.2">
      <c r="A724" s="347">
        <f t="shared" ca="1" si="325"/>
        <v>0.1</v>
      </c>
      <c r="B724" s="304">
        <f t="shared" ca="1" si="326"/>
        <v>36.000000000000199</v>
      </c>
      <c r="D724" s="306">
        <f t="shared" ca="1" si="327"/>
        <v>-0.45667112967003265</v>
      </c>
      <c r="E724" s="307">
        <f t="shared" ca="1" si="328"/>
        <v>-3.3023146751491534</v>
      </c>
      <c r="F724" s="304">
        <f t="shared" ca="1" si="329"/>
        <v>3.3337412518639717</v>
      </c>
      <c r="G724" s="306">
        <f t="shared" ca="1" si="330"/>
        <v>8.5466758644640723</v>
      </c>
      <c r="H724" s="307">
        <f t="shared" ca="1" si="331"/>
        <v>-122.77340921057838</v>
      </c>
      <c r="I724" s="304">
        <f t="shared" ca="1" si="332"/>
        <v>123.07053131241591</v>
      </c>
      <c r="J724" s="306">
        <f t="shared" ca="1" si="333"/>
        <v>528.87657217824551</v>
      </c>
      <c r="K724" s="307">
        <f t="shared" ca="1" si="334"/>
        <v>697.29859163609115</v>
      </c>
      <c r="L724" s="304">
        <f t="shared" ca="1" si="319"/>
        <v>875.17755598317706</v>
      </c>
      <c r="M724" s="306">
        <f t="shared" ca="1" si="335"/>
        <v>-1.5012950388909354</v>
      </c>
      <c r="N724" s="304">
        <f t="shared" ca="1" si="336"/>
        <v>-86.017869532379393</v>
      </c>
      <c r="P724" s="310">
        <f t="shared" ca="1" si="337"/>
        <v>23</v>
      </c>
      <c r="Q724" s="304">
        <f t="shared" ca="1" si="338"/>
        <v>0</v>
      </c>
      <c r="R724" s="306">
        <f t="shared" ca="1" si="339"/>
        <v>0</v>
      </c>
      <c r="S724" s="307">
        <f t="shared" ca="1" si="340"/>
        <v>6.1519999999999921</v>
      </c>
      <c r="T724" s="304">
        <f t="shared" ca="1" si="320"/>
        <v>60.351119999999923</v>
      </c>
      <c r="U724" s="311">
        <f t="shared" ca="1" si="321"/>
        <v>0</v>
      </c>
      <c r="V724" s="306">
        <f t="shared" ca="1" si="322"/>
        <v>1.142458718491949</v>
      </c>
      <c r="W724" s="304">
        <f t="shared" ca="1" si="323"/>
        <v>40.396922518250193</v>
      </c>
      <c r="Y724" s="314" t="str">
        <f t="shared" ca="1" si="341"/>
        <v/>
      </c>
      <c r="Z724" s="315" t="str">
        <f t="shared" ca="1" si="342"/>
        <v/>
      </c>
      <c r="AA724" s="316" t="str">
        <f t="shared" ca="1" si="343"/>
        <v/>
      </c>
      <c r="AC724" s="310">
        <f t="shared" ca="1" si="344"/>
        <v>36.000000000000199</v>
      </c>
      <c r="AD724" s="323">
        <f t="shared" ca="1" si="345"/>
        <v>528.87657217824551</v>
      </c>
      <c r="AE724" s="324" t="e">
        <f t="shared" ca="1" si="324"/>
        <v>#N/A</v>
      </c>
      <c r="AG724" s="306">
        <f t="shared" ca="1" si="346"/>
        <v>3.2622457276960066</v>
      </c>
      <c r="AH724" s="304">
        <f t="shared" ca="1" si="347"/>
        <v>-6.5236888957056482</v>
      </c>
    </row>
    <row r="725" spans="1:34" x14ac:dyDescent="0.2">
      <c r="A725" s="347">
        <f t="shared" ca="1" si="325"/>
        <v>0.1</v>
      </c>
      <c r="B725" s="304">
        <f t="shared" ca="1" si="326"/>
        <v>36.1000000000002</v>
      </c>
      <c r="D725" s="306">
        <f t="shared" ca="1" si="327"/>
        <v>-0.45601078328588762</v>
      </c>
      <c r="E725" s="307">
        <f t="shared" ca="1" si="328"/>
        <v>-3.2593832001308458</v>
      </c>
      <c r="F725" s="304">
        <f t="shared" ca="1" si="329"/>
        <v>3.2911281773532011</v>
      </c>
      <c r="G725" s="306">
        <f t="shared" ca="1" si="330"/>
        <v>8.501074786135483</v>
      </c>
      <c r="H725" s="307">
        <f t="shared" ca="1" si="331"/>
        <v>-123.09934753059146</v>
      </c>
      <c r="I725" s="304">
        <f t="shared" ca="1" si="332"/>
        <v>123.39253476194094</v>
      </c>
      <c r="J725" s="306">
        <f t="shared" ca="1" si="333"/>
        <v>529.72895971077548</v>
      </c>
      <c r="K725" s="307">
        <f t="shared" ca="1" si="334"/>
        <v>685.00495379903271</v>
      </c>
      <c r="L725" s="304">
        <f t="shared" ca="1" si="319"/>
        <v>865.93565435630103</v>
      </c>
      <c r="M725" s="306">
        <f t="shared" ca="1" si="335"/>
        <v>-1.5018471459522924</v>
      </c>
      <c r="N725" s="304">
        <f t="shared" ca="1" si="336"/>
        <v>-86.049502936834514</v>
      </c>
      <c r="P725" s="310">
        <f t="shared" ca="1" si="337"/>
        <v>23</v>
      </c>
      <c r="Q725" s="304">
        <f t="shared" ca="1" si="338"/>
        <v>0</v>
      </c>
      <c r="R725" s="306">
        <f t="shared" ca="1" si="339"/>
        <v>0</v>
      </c>
      <c r="S725" s="307">
        <f t="shared" ca="1" si="340"/>
        <v>6.1519999999999921</v>
      </c>
      <c r="T725" s="304">
        <f t="shared" ca="1" si="320"/>
        <v>60.351119999999923</v>
      </c>
      <c r="U725" s="311">
        <f t="shared" ca="1" si="321"/>
        <v>0</v>
      </c>
      <c r="V725" s="306">
        <f t="shared" ca="1" si="322"/>
        <v>1.1438657609434413</v>
      </c>
      <c r="W725" s="304">
        <f t="shared" ca="1" si="323"/>
        <v>40.658602393413126</v>
      </c>
      <c r="Y725" s="314" t="str">
        <f t="shared" ca="1" si="341"/>
        <v/>
      </c>
      <c r="Z725" s="315" t="str">
        <f t="shared" ca="1" si="342"/>
        <v/>
      </c>
      <c r="AA725" s="316" t="str">
        <f t="shared" ca="1" si="343"/>
        <v/>
      </c>
      <c r="AC725" s="310" t="e">
        <f t="shared" ca="1" si="344"/>
        <v>#N/A</v>
      </c>
      <c r="AD725" s="323" t="e">
        <f t="shared" ca="1" si="345"/>
        <v>#N/A</v>
      </c>
      <c r="AE725" s="324" t="e">
        <f t="shared" ca="1" si="324"/>
        <v>#N/A</v>
      </c>
      <c r="AG725" s="306">
        <f t="shared" ca="1" si="346"/>
        <v>3.2198464313310922</v>
      </c>
      <c r="AH725" s="304">
        <f t="shared" ca="1" si="347"/>
        <v>-6.5664698501707157</v>
      </c>
    </row>
    <row r="726" spans="1:34" x14ac:dyDescent="0.2">
      <c r="A726" s="347">
        <f t="shared" ca="1" si="325"/>
        <v>0.1</v>
      </c>
      <c r="B726" s="304">
        <f t="shared" ca="1" si="326"/>
        <v>36.200000000000202</v>
      </c>
      <c r="D726" s="306">
        <f t="shared" ca="1" si="327"/>
        <v>-0.4553245534353455</v>
      </c>
      <c r="E726" s="307">
        <f t="shared" ca="1" si="328"/>
        <v>-3.2166977585043819</v>
      </c>
      <c r="F726" s="304">
        <f t="shared" ca="1" si="329"/>
        <v>3.2487635984368284</v>
      </c>
      <c r="G726" s="306">
        <f t="shared" ca="1" si="330"/>
        <v>8.4555423307919479</v>
      </c>
      <c r="H726" s="307">
        <f t="shared" ca="1" si="331"/>
        <v>-123.4210173064419</v>
      </c>
      <c r="I726" s="304">
        <f t="shared" ca="1" si="332"/>
        <v>123.71032175637102</v>
      </c>
      <c r="J726" s="306">
        <f t="shared" ca="1" si="333"/>
        <v>530.57679056662187</v>
      </c>
      <c r="K726" s="307">
        <f t="shared" ca="1" si="334"/>
        <v>672.67893555718103</v>
      </c>
      <c r="L726" s="304">
        <f t="shared" ca="1" si="319"/>
        <v>856.74306593652636</v>
      </c>
      <c r="M726" s="306">
        <f t="shared" ca="1" si="335"/>
        <v>-1.5023934671396773</v>
      </c>
      <c r="N726" s="304">
        <f t="shared" ca="1" si="336"/>
        <v>-86.080804835130238</v>
      </c>
      <c r="P726" s="310">
        <f t="shared" ca="1" si="337"/>
        <v>23</v>
      </c>
      <c r="Q726" s="304">
        <f t="shared" ca="1" si="338"/>
        <v>0</v>
      </c>
      <c r="R726" s="306">
        <f t="shared" ca="1" si="339"/>
        <v>0</v>
      </c>
      <c r="S726" s="307">
        <f t="shared" ca="1" si="340"/>
        <v>6.1519999999999921</v>
      </c>
      <c r="T726" s="304">
        <f t="shared" ca="1" si="320"/>
        <v>60.351119999999923</v>
      </c>
      <c r="U726" s="311">
        <f t="shared" ca="1" si="321"/>
        <v>0</v>
      </c>
      <c r="V726" s="306">
        <f t="shared" ca="1" si="322"/>
        <v>1.1452781895248025</v>
      </c>
      <c r="W726" s="304">
        <f t="shared" ca="1" si="323"/>
        <v>40.918761199040233</v>
      </c>
      <c r="Y726" s="314" t="str">
        <f t="shared" ca="1" si="341"/>
        <v/>
      </c>
      <c r="Z726" s="315" t="str">
        <f t="shared" ca="1" si="342"/>
        <v/>
      </c>
      <c r="AA726" s="316" t="str">
        <f t="shared" ca="1" si="343"/>
        <v/>
      </c>
      <c r="AC726" s="310" t="e">
        <f t="shared" ca="1" si="344"/>
        <v>#N/A</v>
      </c>
      <c r="AD726" s="323" t="e">
        <f t="shared" ca="1" si="345"/>
        <v>#N/A</v>
      </c>
      <c r="AE726" s="324" t="e">
        <f t="shared" ca="1" si="324"/>
        <v>#N/A</v>
      </c>
      <c r="AG726" s="306">
        <f t="shared" ca="1" si="346"/>
        <v>3.1776853271615213</v>
      </c>
      <c r="AH726" s="304">
        <f t="shared" ca="1" si="347"/>
        <v>-6.6090055906068237</v>
      </c>
    </row>
    <row r="727" spans="1:34" x14ac:dyDescent="0.2">
      <c r="A727" s="347">
        <f t="shared" ca="1" si="325"/>
        <v>0.1</v>
      </c>
      <c r="B727" s="304">
        <f t="shared" ca="1" si="326"/>
        <v>36.300000000000203</v>
      </c>
      <c r="D727" s="306">
        <f t="shared" ca="1" si="327"/>
        <v>-0.45461282353377497</v>
      </c>
      <c r="E727" s="307">
        <f t="shared" ca="1" si="328"/>
        <v>-3.1742603908722504</v>
      </c>
      <c r="F727" s="304">
        <f t="shared" ca="1" si="329"/>
        <v>3.2066496298133047</v>
      </c>
      <c r="G727" s="306">
        <f t="shared" ca="1" si="330"/>
        <v>8.4100810484385704</v>
      </c>
      <c r="H727" s="307">
        <f t="shared" ca="1" si="331"/>
        <v>-123.73844334552912</v>
      </c>
      <c r="I727" s="304">
        <f t="shared" ca="1" si="332"/>
        <v>124.02391634203471</v>
      </c>
      <c r="J727" s="306">
        <f t="shared" ca="1" si="333"/>
        <v>531.42007173558341</v>
      </c>
      <c r="K727" s="307">
        <f t="shared" ca="1" si="334"/>
        <v>660.32096252458246</v>
      </c>
      <c r="L727" s="304">
        <f t="shared" ca="1" si="319"/>
        <v>847.60313012213658</v>
      </c>
      <c r="M727" s="306">
        <f t="shared" ca="1" si="335"/>
        <v>-1.5029340958670698</v>
      </c>
      <c r="N727" s="304">
        <f t="shared" ca="1" si="336"/>
        <v>-86.11178057949337</v>
      </c>
      <c r="P727" s="310">
        <f t="shared" ca="1" si="337"/>
        <v>23</v>
      </c>
      <c r="Q727" s="304">
        <f t="shared" ca="1" si="338"/>
        <v>0</v>
      </c>
      <c r="R727" s="306">
        <f t="shared" ca="1" si="339"/>
        <v>0</v>
      </c>
      <c r="S727" s="307">
        <f t="shared" ca="1" si="340"/>
        <v>6.1519999999999921</v>
      </c>
      <c r="T727" s="304">
        <f t="shared" ca="1" si="320"/>
        <v>60.351119999999923</v>
      </c>
      <c r="U727" s="311">
        <f t="shared" ca="1" si="321"/>
        <v>0</v>
      </c>
      <c r="V727" s="306">
        <f t="shared" ca="1" si="322"/>
        <v>1.1466959716589251</v>
      </c>
      <c r="W727" s="304">
        <f t="shared" ca="1" si="323"/>
        <v>41.177386904176679</v>
      </c>
      <c r="Y727" s="314" t="str">
        <f t="shared" ca="1" si="341"/>
        <v/>
      </c>
      <c r="Z727" s="315" t="str">
        <f t="shared" ca="1" si="342"/>
        <v/>
      </c>
      <c r="AA727" s="316" t="str">
        <f t="shared" ca="1" si="343"/>
        <v/>
      </c>
      <c r="AC727" s="310" t="e">
        <f t="shared" ca="1" si="344"/>
        <v>#N/A</v>
      </c>
      <c r="AD727" s="323" t="e">
        <f t="shared" ca="1" si="345"/>
        <v>#N/A</v>
      </c>
      <c r="AE727" s="324" t="e">
        <f t="shared" ca="1" si="324"/>
        <v>#N/A</v>
      </c>
      <c r="AG727" s="306">
        <f t="shared" ca="1" si="346"/>
        <v>3.1357646084491595</v>
      </c>
      <c r="AH727" s="304">
        <f t="shared" ca="1" si="347"/>
        <v>-6.6512940830689669</v>
      </c>
    </row>
    <row r="728" spans="1:34" x14ac:dyDescent="0.2">
      <c r="A728" s="347">
        <f t="shared" ca="1" si="325"/>
        <v>0.1</v>
      </c>
      <c r="B728" s="304">
        <f t="shared" ca="1" si="326"/>
        <v>36.400000000000205</v>
      </c>
      <c r="D728" s="306">
        <f t="shared" ca="1" si="327"/>
        <v>-0.45387597652532796</v>
      </c>
      <c r="E728" s="307">
        <f t="shared" ca="1" si="328"/>
        <v>-3.1320730592598656</v>
      </c>
      <c r="F728" s="304">
        <f t="shared" ca="1" si="329"/>
        <v>3.1647883105522672</v>
      </c>
      <c r="G728" s="306">
        <f t="shared" ca="1" si="330"/>
        <v>8.3646934507860369</v>
      </c>
      <c r="H728" s="307">
        <f t="shared" ca="1" si="331"/>
        <v>-124.05165065145511</v>
      </c>
      <c r="I728" s="304">
        <f t="shared" ca="1" si="332"/>
        <v>124.33334277608836</v>
      </c>
      <c r="J728" s="306">
        <f t="shared" ca="1" si="333"/>
        <v>532.25881046054462</v>
      </c>
      <c r="K728" s="307">
        <f t="shared" ca="1" si="334"/>
        <v>647.93145782473323</v>
      </c>
      <c r="L728" s="304">
        <f t="shared" ca="1" si="319"/>
        <v>838.51929933171959</v>
      </c>
      <c r="M728" s="306">
        <f t="shared" ca="1" si="335"/>
        <v>-1.5034691234324746</v>
      </c>
      <c r="N728" s="304">
        <f t="shared" ca="1" si="336"/>
        <v>-86.142435400914223</v>
      </c>
      <c r="P728" s="310">
        <f t="shared" ca="1" si="337"/>
        <v>23</v>
      </c>
      <c r="Q728" s="304">
        <f t="shared" ca="1" si="338"/>
        <v>0</v>
      </c>
      <c r="R728" s="306">
        <f t="shared" ca="1" si="339"/>
        <v>0</v>
      </c>
      <c r="S728" s="307">
        <f t="shared" ca="1" si="340"/>
        <v>6.1519999999999921</v>
      </c>
      <c r="T728" s="304">
        <f t="shared" ca="1" si="320"/>
        <v>60.351119999999923</v>
      </c>
      <c r="U728" s="311">
        <f t="shared" ca="1" si="321"/>
        <v>0</v>
      </c>
      <c r="V728" s="306">
        <f t="shared" ca="1" si="322"/>
        <v>1.1481190749100914</v>
      </c>
      <c r="W728" s="304">
        <f t="shared" ca="1" si="323"/>
        <v>41.434467954909579</v>
      </c>
      <c r="Y728" s="314" t="str">
        <f t="shared" ca="1" si="341"/>
        <v/>
      </c>
      <c r="Z728" s="315" t="str">
        <f t="shared" ca="1" si="342"/>
        <v/>
      </c>
      <c r="AA728" s="316" t="str">
        <f t="shared" ca="1" si="343"/>
        <v/>
      </c>
      <c r="AC728" s="310" t="e">
        <f t="shared" ca="1" si="344"/>
        <v>#N/A</v>
      </c>
      <c r="AD728" s="323" t="e">
        <f t="shared" ca="1" si="345"/>
        <v>#N/A</v>
      </c>
      <c r="AE728" s="324" t="e">
        <f t="shared" ca="1" si="324"/>
        <v>#N/A</v>
      </c>
      <c r="AG728" s="306">
        <f t="shared" ca="1" si="346"/>
        <v>3.094086385649061</v>
      </c>
      <c r="AH728" s="304">
        <f t="shared" ca="1" si="347"/>
        <v>-6.6933333719403008</v>
      </c>
    </row>
    <row r="729" spans="1:34" x14ac:dyDescent="0.2">
      <c r="A729" s="347">
        <f t="shared" ca="1" si="325"/>
        <v>0.1</v>
      </c>
      <c r="B729" s="304">
        <f t="shared" ca="1" si="326"/>
        <v>36.500000000000206</v>
      </c>
      <c r="D729" s="306">
        <f t="shared" ca="1" si="327"/>
        <v>-0.45311439478300286</v>
      </c>
      <c r="E729" s="307">
        <f t="shared" ca="1" si="328"/>
        <v>-3.0901376479033393</v>
      </c>
      <c r="F729" s="304">
        <f t="shared" ca="1" si="329"/>
        <v>3.1231816049901981</v>
      </c>
      <c r="G729" s="306">
        <f t="shared" ca="1" si="330"/>
        <v>8.3193820113077361</v>
      </c>
      <c r="H729" s="307">
        <f t="shared" ca="1" si="331"/>
        <v>-124.36066441624544</v>
      </c>
      <c r="I729" s="304">
        <f t="shared" ca="1" si="332"/>
        <v>124.63862551833635</v>
      </c>
      <c r="J729" s="306">
        <f t="shared" ca="1" si="333"/>
        <v>533.09301423364934</v>
      </c>
      <c r="K729" s="307">
        <f t="shared" ca="1" si="334"/>
        <v>635.51084207134818</v>
      </c>
      <c r="L729" s="304">
        <f t="shared" ca="1" si="319"/>
        <v>829.49514297249016</v>
      </c>
      <c r="M729" s="306">
        <f t="shared" ca="1" si="335"/>
        <v>-1.5039986390773046</v>
      </c>
      <c r="N729" s="304">
        <f t="shared" ca="1" si="336"/>
        <v>-86.172774412549117</v>
      </c>
      <c r="P729" s="310">
        <f t="shared" ca="1" si="337"/>
        <v>23</v>
      </c>
      <c r="Q729" s="304">
        <f t="shared" ca="1" si="338"/>
        <v>0</v>
      </c>
      <c r="R729" s="306">
        <f t="shared" ca="1" si="339"/>
        <v>0</v>
      </c>
      <c r="S729" s="307">
        <f t="shared" ca="1" si="340"/>
        <v>6.1519999999999921</v>
      </c>
      <c r="T729" s="304">
        <f t="shared" ca="1" si="320"/>
        <v>60.351119999999923</v>
      </c>
      <c r="U729" s="311">
        <f t="shared" ca="1" si="321"/>
        <v>0</v>
      </c>
      <c r="V729" s="306">
        <f t="shared" ca="1" si="322"/>
        <v>1.1495474669858712</v>
      </c>
      <c r="W729" s="304">
        <f t="shared" ca="1" si="323"/>
        <v>41.689993269446568</v>
      </c>
      <c r="Y729" s="314" t="str">
        <f t="shared" ca="1" si="341"/>
        <v/>
      </c>
      <c r="Z729" s="315" t="str">
        <f t="shared" ca="1" si="342"/>
        <v/>
      </c>
      <c r="AA729" s="316" t="str">
        <f t="shared" ca="1" si="343"/>
        <v/>
      </c>
      <c r="AC729" s="310" t="e">
        <f t="shared" ca="1" si="344"/>
        <v>#N/A</v>
      </c>
      <c r="AD729" s="323" t="e">
        <f t="shared" ca="1" si="345"/>
        <v>#N/A</v>
      </c>
      <c r="AE729" s="324" t="e">
        <f t="shared" ca="1" si="324"/>
        <v>#N/A</v>
      </c>
      <c r="AG729" s="306">
        <f t="shared" ca="1" si="346"/>
        <v>3.0526526873458248</v>
      </c>
      <c r="AH729" s="304">
        <f t="shared" ca="1" si="347"/>
        <v>-6.7351215791465595</v>
      </c>
    </row>
    <row r="730" spans="1:34" x14ac:dyDescent="0.2">
      <c r="A730" s="347">
        <f t="shared" ca="1" si="325"/>
        <v>0.1</v>
      </c>
      <c r="B730" s="304">
        <f t="shared" ca="1" si="326"/>
        <v>36.600000000000207</v>
      </c>
      <c r="D730" s="306">
        <f t="shared" ca="1" si="327"/>
        <v>-0.4523284600109046</v>
      </c>
      <c r="E730" s="307">
        <f t="shared" ca="1" si="328"/>
        <v>-3.0484559640517164</v>
      </c>
      <c r="F730" s="304">
        <f t="shared" ca="1" si="329"/>
        <v>3.0818314036459418</v>
      </c>
      <c r="G730" s="306">
        <f t="shared" ca="1" si="330"/>
        <v>8.2741491653066461</v>
      </c>
      <c r="H730" s="307">
        <f t="shared" ca="1" si="331"/>
        <v>-124.66551001265061</v>
      </c>
      <c r="I730" s="304">
        <f t="shared" ca="1" si="332"/>
        <v>124.93978922314555</v>
      </c>
      <c r="J730" s="306">
        <f t="shared" ca="1" si="333"/>
        <v>533.92269079248001</v>
      </c>
      <c r="K730" s="307">
        <f t="shared" ca="1" si="334"/>
        <v>623.0595333499034</v>
      </c>
      <c r="L730" s="304">
        <f t="shared" ca="1" si="319"/>
        <v>820.53435140844749</v>
      </c>
      <c r="M730" s="306">
        <f t="shared" ca="1" si="335"/>
        <v>-1.504522730043794</v>
      </c>
      <c r="N730" s="304">
        <f t="shared" ca="1" si="336"/>
        <v>-86.202802613009894</v>
      </c>
      <c r="P730" s="310">
        <f t="shared" ca="1" si="337"/>
        <v>23</v>
      </c>
      <c r="Q730" s="304">
        <f t="shared" ca="1" si="338"/>
        <v>0</v>
      </c>
      <c r="R730" s="306">
        <f t="shared" ca="1" si="339"/>
        <v>0</v>
      </c>
      <c r="S730" s="307">
        <f t="shared" ca="1" si="340"/>
        <v>6.1519999999999921</v>
      </c>
      <c r="T730" s="304">
        <f t="shared" ca="1" si="320"/>
        <v>60.351119999999923</v>
      </c>
      <c r="U730" s="311">
        <f t="shared" ca="1" si="321"/>
        <v>0</v>
      </c>
      <c r="V730" s="306">
        <f t="shared" ca="1" si="322"/>
        <v>1.1509811157389747</v>
      </c>
      <c r="W730" s="304">
        <f t="shared" ca="1" si="323"/>
        <v>41.943952233110487</v>
      </c>
      <c r="Y730" s="314" t="str">
        <f t="shared" ca="1" si="341"/>
        <v/>
      </c>
      <c r="Z730" s="315" t="str">
        <f t="shared" ca="1" si="342"/>
        <v/>
      </c>
      <c r="AA730" s="316" t="str">
        <f t="shared" ca="1" si="343"/>
        <v/>
      </c>
      <c r="AC730" s="310" t="e">
        <f t="shared" ca="1" si="344"/>
        <v>#N/A</v>
      </c>
      <c r="AD730" s="323" t="e">
        <f t="shared" ca="1" si="345"/>
        <v>#N/A</v>
      </c>
      <c r="AE730" s="324" t="e">
        <f t="shared" ca="1" si="324"/>
        <v>#N/A</v>
      </c>
      <c r="AG730" s="306">
        <f t="shared" ca="1" si="346"/>
        <v>3.0114654611984708</v>
      </c>
      <c r="AH730" s="304">
        <f t="shared" ca="1" si="347"/>
        <v>-6.7766569033560824</v>
      </c>
    </row>
    <row r="731" spans="1:34" x14ac:dyDescent="0.2">
      <c r="A731" s="347">
        <f t="shared" ca="1" si="325"/>
        <v>0.1</v>
      </c>
      <c r="B731" s="304">
        <f t="shared" ca="1" si="326"/>
        <v>36.700000000000209</v>
      </c>
      <c r="D731" s="306">
        <f t="shared" ca="1" si="327"/>
        <v>-0.45151855314868994</v>
      </c>
      <c r="E731" s="307">
        <f t="shared" ca="1" si="328"/>
        <v>-3.0070297387828928</v>
      </c>
      <c r="F731" s="304">
        <f t="shared" ca="1" si="329"/>
        <v>3.0407395241556285</v>
      </c>
      <c r="G731" s="306">
        <f t="shared" ca="1" si="330"/>
        <v>8.2289973099917777</v>
      </c>
      <c r="H731" s="307">
        <f t="shared" ca="1" si="331"/>
        <v>-124.9662129865289</v>
      </c>
      <c r="I731" s="304">
        <f t="shared" ca="1" si="332"/>
        <v>125.23685873145476</v>
      </c>
      <c r="J731" s="306">
        <f t="shared" ca="1" si="333"/>
        <v>534.74784811624488</v>
      </c>
      <c r="K731" s="307">
        <f t="shared" ca="1" si="334"/>
        <v>610.57794719994445</v>
      </c>
      <c r="L731" s="304">
        <f t="shared" ca="1" si="319"/>
        <v>811.64073990396309</v>
      </c>
      <c r="M731" s="306">
        <f t="shared" ca="1" si="335"/>
        <v>-1.5050414816305153</v>
      </c>
      <c r="N731" s="304">
        <f t="shared" ca="1" si="336"/>
        <v>-86.232524889544749</v>
      </c>
      <c r="P731" s="310">
        <f t="shared" ca="1" si="337"/>
        <v>23</v>
      </c>
      <c r="Q731" s="304">
        <f t="shared" ca="1" si="338"/>
        <v>0</v>
      </c>
      <c r="R731" s="306">
        <f t="shared" ca="1" si="339"/>
        <v>0</v>
      </c>
      <c r="S731" s="307">
        <f t="shared" ca="1" si="340"/>
        <v>6.1519999999999921</v>
      </c>
      <c r="T731" s="304">
        <f t="shared" ca="1" si="320"/>
        <v>60.351119999999923</v>
      </c>
      <c r="U731" s="311">
        <f t="shared" ca="1" si="321"/>
        <v>0</v>
      </c>
      <c r="V731" s="306">
        <f t="shared" ca="1" si="322"/>
        <v>1.1524199891690523</v>
      </c>
      <c r="W731" s="304">
        <f t="shared" ca="1" si="323"/>
        <v>42.196334693254151</v>
      </c>
      <c r="Y731" s="314" t="str">
        <f t="shared" ca="1" si="341"/>
        <v/>
      </c>
      <c r="Z731" s="315" t="str">
        <f t="shared" ca="1" si="342"/>
        <v/>
      </c>
      <c r="AA731" s="316" t="str">
        <f t="shared" ca="1" si="343"/>
        <v/>
      </c>
      <c r="AC731" s="310" t="e">
        <f t="shared" ca="1" si="344"/>
        <v>#N/A</v>
      </c>
      <c r="AD731" s="323" t="e">
        <f t="shared" ca="1" si="345"/>
        <v>#N/A</v>
      </c>
      <c r="AE731" s="324" t="e">
        <f t="shared" ca="1" si="324"/>
        <v>#N/A</v>
      </c>
      <c r="AG731" s="306">
        <f t="shared" ca="1" si="346"/>
        <v>2.9705265748932979</v>
      </c>
      <c r="AH731" s="304">
        <f t="shared" ca="1" si="347"/>
        <v>-6.8179376191662131</v>
      </c>
    </row>
    <row r="732" spans="1:34" x14ac:dyDescent="0.2">
      <c r="A732" s="347">
        <f t="shared" ca="1" si="325"/>
        <v>0.1</v>
      </c>
      <c r="B732" s="304">
        <f t="shared" ca="1" si="326"/>
        <v>36.80000000000021</v>
      </c>
      <c r="D732" s="306">
        <f t="shared" ca="1" si="327"/>
        <v>-0.45068505427819716</v>
      </c>
      <c r="E732" s="307">
        <f t="shared" ca="1" si="328"/>
        <v>-2.9658606278325896</v>
      </c>
      <c r="F732" s="304">
        <f t="shared" ca="1" si="329"/>
        <v>2.9999077122267055</v>
      </c>
      <c r="G732" s="306">
        <f t="shared" ca="1" si="330"/>
        <v>8.1839288045639584</v>
      </c>
      <c r="H732" s="307">
        <f t="shared" ca="1" si="331"/>
        <v>-125.26279904931216</v>
      </c>
      <c r="I732" s="304">
        <f t="shared" ca="1" si="332"/>
        <v>125.52985906288006</v>
      </c>
      <c r="J732" s="306">
        <f t="shared" ca="1" si="333"/>
        <v>535.56849442197267</v>
      </c>
      <c r="K732" s="307">
        <f t="shared" ca="1" si="334"/>
        <v>598.06649659815241</v>
      </c>
      <c r="L732" s="304">
        <f t="shared" ca="1" si="319"/>
        <v>802.81825251460646</v>
      </c>
      <c r="M732" s="306">
        <f t="shared" ca="1" si="335"/>
        <v>-1.5055549772460706</v>
      </c>
      <c r="N732" s="304">
        <f t="shared" ca="1" si="336"/>
        <v>-86.261946021114539</v>
      </c>
      <c r="P732" s="310">
        <f t="shared" ca="1" si="337"/>
        <v>23</v>
      </c>
      <c r="Q732" s="304">
        <f t="shared" ca="1" si="338"/>
        <v>0</v>
      </c>
      <c r="R732" s="306">
        <f t="shared" ca="1" si="339"/>
        <v>0</v>
      </c>
      <c r="S732" s="307">
        <f t="shared" ca="1" si="340"/>
        <v>6.1519999999999921</v>
      </c>
      <c r="T732" s="304">
        <f t="shared" ca="1" si="320"/>
        <v>60.351119999999923</v>
      </c>
      <c r="U732" s="311">
        <f t="shared" ca="1" si="321"/>
        <v>0</v>
      </c>
      <c r="V732" s="306">
        <f t="shared" ca="1" si="322"/>
        <v>1.1538640554244513</v>
      </c>
      <c r="W732" s="304">
        <f t="shared" ca="1" si="323"/>
        <v>42.447130954099677</v>
      </c>
      <c r="Y732" s="314" t="str">
        <f t="shared" ca="1" si="341"/>
        <v/>
      </c>
      <c r="Z732" s="315" t="str">
        <f t="shared" ca="1" si="342"/>
        <v/>
      </c>
      <c r="AA732" s="316" t="str">
        <f t="shared" ca="1" si="343"/>
        <v/>
      </c>
      <c r="AC732" s="310" t="e">
        <f t="shared" ca="1" si="344"/>
        <v>#N/A</v>
      </c>
      <c r="AD732" s="323" t="e">
        <f t="shared" ca="1" si="345"/>
        <v>#N/A</v>
      </c>
      <c r="AE732" s="324" t="e">
        <f t="shared" ca="1" si="324"/>
        <v>#N/A</v>
      </c>
      <c r="AG732" s="306">
        <f t="shared" ca="1" si="346"/>
        <v>2.9298378171044099</v>
      </c>
      <c r="AH732" s="304">
        <f t="shared" ca="1" si="347"/>
        <v>-6.8589620762766916</v>
      </c>
    </row>
    <row r="733" spans="1:34" x14ac:dyDescent="0.2">
      <c r="A733" s="347">
        <f t="shared" ca="1" si="325"/>
        <v>0.1</v>
      </c>
      <c r="B733" s="304">
        <f t="shared" ca="1" si="326"/>
        <v>36.900000000000212</v>
      </c>
      <c r="D733" s="306">
        <f t="shared" ca="1" si="327"/>
        <v>-0.44982834253227072</v>
      </c>
      <c r="E733" s="307">
        <f t="shared" ca="1" si="328"/>
        <v>-2.9249502124356317</v>
      </c>
      <c r="F733" s="304">
        <f t="shared" ca="1" si="329"/>
        <v>2.9593376426106865</v>
      </c>
      <c r="G733" s="306">
        <f t="shared" ca="1" si="330"/>
        <v>8.138945970310731</v>
      </c>
      <c r="H733" s="307">
        <f t="shared" ca="1" si="331"/>
        <v>-125.55529407055573</v>
      </c>
      <c r="I733" s="304">
        <f t="shared" ca="1" si="332"/>
        <v>125.81881540791649</v>
      </c>
      <c r="J733" s="306">
        <f t="shared" ca="1" si="333"/>
        <v>536.38463816071646</v>
      </c>
      <c r="K733" s="307">
        <f t="shared" ca="1" si="334"/>
        <v>585.52559194215905</v>
      </c>
      <c r="L733" s="304">
        <f t="shared" ca="1" si="319"/>
        <v>794.07096589285925</v>
      </c>
      <c r="M733" s="306">
        <f t="shared" ca="1" si="335"/>
        <v>-1.5060632984610292</v>
      </c>
      <c r="N733" s="304">
        <f t="shared" ca="1" si="336"/>
        <v>-86.291070681368623</v>
      </c>
      <c r="P733" s="310">
        <f t="shared" ca="1" si="337"/>
        <v>23</v>
      </c>
      <c r="Q733" s="304">
        <f t="shared" ca="1" si="338"/>
        <v>0</v>
      </c>
      <c r="R733" s="306">
        <f t="shared" ca="1" si="339"/>
        <v>0</v>
      </c>
      <c r="S733" s="307">
        <f t="shared" ca="1" si="340"/>
        <v>6.1519999999999921</v>
      </c>
      <c r="T733" s="304">
        <f t="shared" ca="1" si="320"/>
        <v>60.351119999999923</v>
      </c>
      <c r="U733" s="311">
        <f t="shared" ca="1" si="321"/>
        <v>0</v>
      </c>
      <c r="V733" s="306">
        <f t="shared" ca="1" si="322"/>
        <v>1.1553132828039228</v>
      </c>
      <c r="W733" s="304">
        <f t="shared" ca="1" si="323"/>
        <v>42.696331771506394</v>
      </c>
      <c r="Y733" s="314" t="str">
        <f t="shared" ca="1" si="341"/>
        <v/>
      </c>
      <c r="Z733" s="315" t="str">
        <f t="shared" ca="1" si="342"/>
        <v/>
      </c>
      <c r="AA733" s="316" t="str">
        <f t="shared" ca="1" si="343"/>
        <v/>
      </c>
      <c r="AC733" s="310" t="e">
        <f t="shared" ca="1" si="344"/>
        <v>#N/A</v>
      </c>
      <c r="AD733" s="323" t="e">
        <f t="shared" ca="1" si="345"/>
        <v>#N/A</v>
      </c>
      <c r="AE733" s="324" t="e">
        <f t="shared" ca="1" si="324"/>
        <v>#N/A</v>
      </c>
      <c r="AG733" s="306">
        <f t="shared" ca="1" si="346"/>
        <v>2.8894008984613171</v>
      </c>
      <c r="AH733" s="304">
        <f t="shared" ca="1" si="347"/>
        <v>-6.8997286986508017</v>
      </c>
    </row>
    <row r="734" spans="1:34" x14ac:dyDescent="0.2">
      <c r="A734" s="347">
        <f t="shared" ca="1" si="325"/>
        <v>0.1</v>
      </c>
      <c r="B734" s="304">
        <f t="shared" ca="1" si="326"/>
        <v>37.000000000000213</v>
      </c>
      <c r="D734" s="306">
        <f t="shared" ca="1" si="327"/>
        <v>-0.44894879600575871</v>
      </c>
      <c r="E734" s="307">
        <f t="shared" ca="1" si="328"/>
        <v>-2.8843000001788965</v>
      </c>
      <c r="F734" s="304">
        <f t="shared" ca="1" si="329"/>
        <v>2.9190309200943734</v>
      </c>
      <c r="G734" s="306">
        <f t="shared" ca="1" si="330"/>
        <v>8.0940510907101544</v>
      </c>
      <c r="H734" s="307">
        <f t="shared" ca="1" si="331"/>
        <v>-125.84372407057361</v>
      </c>
      <c r="I734" s="304">
        <f t="shared" ca="1" si="332"/>
        <v>126.10375312023704</v>
      </c>
      <c r="J734" s="306">
        <f t="shared" ca="1" si="333"/>
        <v>537.19628801376746</v>
      </c>
      <c r="K734" s="307">
        <f t="shared" ca="1" si="334"/>
        <v>572.95564103510253</v>
      </c>
      <c r="L734" s="304">
        <f t="shared" ca="1" si="319"/>
        <v>785.40309297182932</v>
      </c>
      <c r="M734" s="306">
        <f t="shared" ca="1" si="335"/>
        <v>-1.5065665250581781</v>
      </c>
      <c r="N734" s="304">
        <f t="shared" ca="1" si="336"/>
        <v>-86.319903441523991</v>
      </c>
      <c r="P734" s="310">
        <f t="shared" ca="1" si="337"/>
        <v>23</v>
      </c>
      <c r="Q734" s="304">
        <f t="shared" ca="1" si="338"/>
        <v>0</v>
      </c>
      <c r="R734" s="306">
        <f t="shared" ca="1" si="339"/>
        <v>0</v>
      </c>
      <c r="S734" s="307">
        <f t="shared" ca="1" si="340"/>
        <v>6.1519999999999921</v>
      </c>
      <c r="T734" s="304">
        <f t="shared" ca="1" si="320"/>
        <v>60.351119999999923</v>
      </c>
      <c r="U734" s="311">
        <f t="shared" ca="1" si="321"/>
        <v>0</v>
      </c>
      <c r="V734" s="306">
        <f t="shared" ca="1" si="322"/>
        <v>1.1567676397582816</v>
      </c>
      <c r="W734" s="304">
        <f t="shared" ca="1" si="323"/>
        <v>42.943928347671502</v>
      </c>
      <c r="Y734" s="314" t="str">
        <f t="shared" ca="1" si="341"/>
        <v/>
      </c>
      <c r="Z734" s="315" t="str">
        <f t="shared" ca="1" si="342"/>
        <v/>
      </c>
      <c r="AA734" s="316" t="str">
        <f t="shared" ca="1" si="343"/>
        <v/>
      </c>
      <c r="AC734" s="310">
        <f t="shared" ca="1" si="344"/>
        <v>37.000000000000213</v>
      </c>
      <c r="AD734" s="323">
        <f t="shared" ca="1" si="345"/>
        <v>537.19628801376746</v>
      </c>
      <c r="AE734" s="324" t="e">
        <f t="shared" ca="1" si="324"/>
        <v>#N/A</v>
      </c>
      <c r="AG734" s="306">
        <f t="shared" ca="1" si="346"/>
        <v>2.8492174525232601</v>
      </c>
      <c r="AH734" s="304">
        <f t="shared" ca="1" si="347"/>
        <v>-6.9402359836648975</v>
      </c>
    </row>
    <row r="735" spans="1:34" x14ac:dyDescent="0.2">
      <c r="A735" s="347">
        <f t="shared" ca="1" si="325"/>
        <v>0.1</v>
      </c>
      <c r="B735" s="304">
        <f t="shared" ca="1" si="326"/>
        <v>37.100000000000215</v>
      </c>
      <c r="D735" s="306">
        <f t="shared" ca="1" si="327"/>
        <v>-0.4480467916686795</v>
      </c>
      <c r="E735" s="307">
        <f t="shared" ca="1" si="328"/>
        <v>-2.8439114258652296</v>
      </c>
      <c r="F735" s="304">
        <f t="shared" ca="1" si="329"/>
        <v>2.8789890805092333</v>
      </c>
      <c r="G735" s="306">
        <f t="shared" ca="1" si="330"/>
        <v>8.0492464115432867</v>
      </c>
      <c r="H735" s="307">
        <f t="shared" ca="1" si="331"/>
        <v>-126.12811521316014</v>
      </c>
      <c r="I735" s="304">
        <f t="shared" ca="1" si="332"/>
        <v>126.38469770908954</v>
      </c>
      <c r="J735" s="306">
        <f t="shared" ca="1" si="333"/>
        <v>538.00345288888013</v>
      </c>
      <c r="K735" s="307">
        <f t="shared" ca="1" si="334"/>
        <v>560.35704907091588</v>
      </c>
      <c r="L735" s="304">
        <f t="shared" ca="1" si="319"/>
        <v>776.81898648515426</v>
      </c>
      <c r="M735" s="306">
        <f t="shared" ca="1" si="335"/>
        <v>-1.507064735081147</v>
      </c>
      <c r="N735" s="304">
        <f t="shared" ca="1" si="336"/>
        <v>-86.348448773151219</v>
      </c>
      <c r="P735" s="310">
        <f t="shared" ca="1" si="337"/>
        <v>23</v>
      </c>
      <c r="Q735" s="304">
        <f t="shared" ca="1" si="338"/>
        <v>0</v>
      </c>
      <c r="R735" s="306">
        <f t="shared" ca="1" si="339"/>
        <v>0</v>
      </c>
      <c r="S735" s="307">
        <f t="shared" ca="1" si="340"/>
        <v>6.1519999999999921</v>
      </c>
      <c r="T735" s="304">
        <f t="shared" ca="1" si="320"/>
        <v>60.351119999999923</v>
      </c>
      <c r="U735" s="311">
        <f t="shared" ca="1" si="321"/>
        <v>0</v>
      </c>
      <c r="V735" s="306">
        <f t="shared" ca="1" si="322"/>
        <v>1.1582270948920226</v>
      </c>
      <c r="W735" s="304">
        <f t="shared" ca="1" si="323"/>
        <v>43.189912325767672</v>
      </c>
      <c r="Y735" s="314" t="str">
        <f t="shared" ca="1" si="341"/>
        <v/>
      </c>
      <c r="Z735" s="315" t="str">
        <f t="shared" ca="1" si="342"/>
        <v/>
      </c>
      <c r="AA735" s="316" t="str">
        <f t="shared" ca="1" si="343"/>
        <v/>
      </c>
      <c r="AC735" s="310" t="e">
        <f t="shared" ca="1" si="344"/>
        <v>#N/A</v>
      </c>
      <c r="AD735" s="323" t="e">
        <f t="shared" ca="1" si="345"/>
        <v>#N/A</v>
      </c>
      <c r="AE735" s="324" t="e">
        <f t="shared" ca="1" si="324"/>
        <v>#N/A</v>
      </c>
      <c r="AG735" s="306">
        <f t="shared" ca="1" si="346"/>
        <v>2.8092890367597514</v>
      </c>
      <c r="AH735" s="304">
        <f t="shared" ca="1" si="347"/>
        <v>-6.9804825012470024</v>
      </c>
    </row>
    <row r="736" spans="1:34" x14ac:dyDescent="0.2">
      <c r="A736" s="347">
        <f t="shared" ca="1" si="325"/>
        <v>0.1</v>
      </c>
      <c r="B736" s="304">
        <f t="shared" ca="1" si="326"/>
        <v>37.200000000000216</v>
      </c>
      <c r="D736" s="306">
        <f t="shared" ca="1" si="327"/>
        <v>-0.4471227052815599</v>
      </c>
      <c r="E736" s="307">
        <f t="shared" ca="1" si="328"/>
        <v>-2.8037858523876693</v>
      </c>
      <c r="F736" s="304">
        <f t="shared" ca="1" si="329"/>
        <v>2.8392135917587371</v>
      </c>
      <c r="G736" s="306">
        <f t="shared" ca="1" si="330"/>
        <v>8.0045341410151298</v>
      </c>
      <c r="H736" s="307">
        <f t="shared" ca="1" si="331"/>
        <v>-126.40849379839891</v>
      </c>
      <c r="I736" s="304">
        <f t="shared" ca="1" si="332"/>
        <v>126.66167483179169</v>
      </c>
      <c r="J736" s="306">
        <f t="shared" ca="1" si="333"/>
        <v>538.80614191650807</v>
      </c>
      <c r="K736" s="307">
        <f t="shared" ca="1" si="334"/>
        <v>547.73021862033795</v>
      </c>
      <c r="L736" s="304">
        <f t="shared" ca="1" si="319"/>
        <v>768.32314227597976</v>
      </c>
      <c r="M736" s="306">
        <f t="shared" ca="1" si="335"/>
        <v>-1.5075580048814694</v>
      </c>
      <c r="N736" s="304">
        <f t="shared" ca="1" si="336"/>
        <v>-86.376711050870952</v>
      </c>
      <c r="P736" s="310">
        <f t="shared" ca="1" si="337"/>
        <v>23</v>
      </c>
      <c r="Q736" s="304">
        <f t="shared" ca="1" si="338"/>
        <v>0</v>
      </c>
      <c r="R736" s="306">
        <f t="shared" ca="1" si="339"/>
        <v>0</v>
      </c>
      <c r="S736" s="307">
        <f t="shared" ca="1" si="340"/>
        <v>6.1519999999999921</v>
      </c>
      <c r="T736" s="304">
        <f t="shared" ca="1" si="320"/>
        <v>60.351119999999923</v>
      </c>
      <c r="U736" s="311">
        <f t="shared" ca="1" si="321"/>
        <v>0</v>
      </c>
      <c r="V736" s="306">
        <f t="shared" ca="1" si="322"/>
        <v>1.1596916169648868</v>
      </c>
      <c r="W736" s="304">
        <f t="shared" ca="1" si="323"/>
        <v>43.434275784521219</v>
      </c>
      <c r="Y736" s="314" t="str">
        <f t="shared" ca="1" si="341"/>
        <v/>
      </c>
      <c r="Z736" s="315" t="str">
        <f t="shared" ca="1" si="342"/>
        <v/>
      </c>
      <c r="AA736" s="316" t="str">
        <f t="shared" ca="1" si="343"/>
        <v/>
      </c>
      <c r="AC736" s="310" t="e">
        <f t="shared" ca="1" si="344"/>
        <v>#N/A</v>
      </c>
      <c r="AD736" s="323" t="e">
        <f t="shared" ca="1" si="345"/>
        <v>#N/A</v>
      </c>
      <c r="AE736" s="324" t="e">
        <f t="shared" ca="1" si="324"/>
        <v>#N/A</v>
      </c>
      <c r="AG736" s="306">
        <f t="shared" ca="1" si="346"/>
        <v>2.7696171335368778</v>
      </c>
      <c r="AH736" s="304">
        <f t="shared" ca="1" si="347"/>
        <v>-7.0204668930051568</v>
      </c>
    </row>
    <row r="737" spans="1:34" x14ac:dyDescent="0.2">
      <c r="A737" s="347">
        <f t="shared" ca="1" si="325"/>
        <v>0.1</v>
      </c>
      <c r="B737" s="304">
        <f t="shared" ca="1" si="326"/>
        <v>37.300000000000217</v>
      </c>
      <c r="D737" s="306">
        <f t="shared" ca="1" si="327"/>
        <v>-0.44617691131292586</v>
      </c>
      <c r="E737" s="307">
        <f t="shared" ca="1" si="328"/>
        <v>-2.7639245716133596</v>
      </c>
      <c r="F737" s="304">
        <f t="shared" ca="1" si="329"/>
        <v>2.7997058548634777</v>
      </c>
      <c r="G737" s="306">
        <f t="shared" ca="1" si="330"/>
        <v>7.9599164498838375</v>
      </c>
      <c r="H737" s="307">
        <f t="shared" ca="1" si="331"/>
        <v>-126.68488625556024</v>
      </c>
      <c r="I737" s="304">
        <f t="shared" ca="1" si="332"/>
        <v>126.93471028632541</v>
      </c>
      <c r="J737" s="306">
        <f t="shared" ca="1" si="333"/>
        <v>539.60436444605307</v>
      </c>
      <c r="K737" s="307">
        <f t="shared" ca="1" si="334"/>
        <v>535.07554961764004</v>
      </c>
      <c r="L737" s="304">
        <f t="shared" ca="1" si="319"/>
        <v>759.92020234222525</v>
      </c>
      <c r="M737" s="306">
        <f t="shared" ca="1" si="335"/>
        <v>-1.5080464091641383</v>
      </c>
      <c r="N737" s="304">
        <f t="shared" ca="1" si="336"/>
        <v>-86.404694554963996</v>
      </c>
      <c r="P737" s="310">
        <f t="shared" ca="1" si="337"/>
        <v>23</v>
      </c>
      <c r="Q737" s="304">
        <f t="shared" ca="1" si="338"/>
        <v>0</v>
      </c>
      <c r="R737" s="306">
        <f t="shared" ca="1" si="339"/>
        <v>0</v>
      </c>
      <c r="S737" s="307">
        <f t="shared" ca="1" si="340"/>
        <v>6.1519999999999921</v>
      </c>
      <c r="T737" s="304">
        <f t="shared" ca="1" si="320"/>
        <v>60.351119999999923</v>
      </c>
      <c r="U737" s="311">
        <f t="shared" ca="1" si="321"/>
        <v>0</v>
      </c>
      <c r="V737" s="306">
        <f t="shared" ca="1" si="322"/>
        <v>1.1611611748933828</v>
      </c>
      <c r="W737" s="304">
        <f t="shared" ca="1" si="323"/>
        <v>43.677011232735317</v>
      </c>
      <c r="Y737" s="314" t="str">
        <f t="shared" ca="1" si="341"/>
        <v/>
      </c>
      <c r="Z737" s="315" t="str">
        <f t="shared" ca="1" si="342"/>
        <v/>
      </c>
      <c r="AA737" s="316" t="str">
        <f t="shared" ca="1" si="343"/>
        <v/>
      </c>
      <c r="AC737" s="310" t="e">
        <f t="shared" ca="1" si="344"/>
        <v>#N/A</v>
      </c>
      <c r="AD737" s="323" t="e">
        <f t="shared" ca="1" si="345"/>
        <v>#N/A</v>
      </c>
      <c r="AE737" s="324" t="e">
        <f t="shared" ca="1" si="324"/>
        <v>#N/A</v>
      </c>
      <c r="AG737" s="306">
        <f t="shared" ca="1" si="346"/>
        <v>2.7302031511089329</v>
      </c>
      <c r="AH737" s="304">
        <f t="shared" ca="1" si="347"/>
        <v>-7.0601878713461108</v>
      </c>
    </row>
    <row r="738" spans="1:34" x14ac:dyDescent="0.2">
      <c r="A738" s="347">
        <f t="shared" ca="1" si="325"/>
        <v>0.1</v>
      </c>
      <c r="B738" s="304">
        <f t="shared" ca="1" si="326"/>
        <v>37.400000000000219</v>
      </c>
      <c r="D738" s="306">
        <f t="shared" ca="1" si="327"/>
        <v>-0.44520978285894486</v>
      </c>
      <c r="E738" s="307">
        <f t="shared" ca="1" si="328"/>
        <v>-2.7243288052764436</v>
      </c>
      <c r="F738" s="304">
        <f t="shared" ca="1" si="329"/>
        <v>2.7604672050238674</v>
      </c>
      <c r="G738" s="306">
        <f t="shared" ca="1" si="330"/>
        <v>7.9153954715979431</v>
      </c>
      <c r="H738" s="307">
        <f t="shared" ca="1" si="331"/>
        <v>-126.95731913608789</v>
      </c>
      <c r="I738" s="304">
        <f t="shared" ca="1" si="332"/>
        <v>127.20383000403039</v>
      </c>
      <c r="J738" s="306">
        <f t="shared" ca="1" si="333"/>
        <v>540.39813004212715</v>
      </c>
      <c r="K738" s="307">
        <f t="shared" ca="1" si="334"/>
        <v>522.39343934805765</v>
      </c>
      <c r="L738" s="304">
        <f t="shared" ca="1" si="319"/>
        <v>751.61495755933481</v>
      </c>
      <c r="M738" s="306">
        <f t="shared" ca="1" si="335"/>
        <v>-1.5085300210317123</v>
      </c>
      <c r="N738" s="304">
        <f t="shared" ca="1" si="336"/>
        <v>-86.432403473898432</v>
      </c>
      <c r="P738" s="310">
        <f t="shared" ca="1" si="337"/>
        <v>23</v>
      </c>
      <c r="Q738" s="304">
        <f t="shared" ca="1" si="338"/>
        <v>0</v>
      </c>
      <c r="R738" s="306">
        <f t="shared" ca="1" si="339"/>
        <v>0</v>
      </c>
      <c r="S738" s="307">
        <f t="shared" ca="1" si="340"/>
        <v>6.1519999999999921</v>
      </c>
      <c r="T738" s="304">
        <f t="shared" ca="1" si="320"/>
        <v>60.351119999999923</v>
      </c>
      <c r="U738" s="311">
        <f t="shared" ca="1" si="321"/>
        <v>0</v>
      </c>
      <c r="V738" s="306">
        <f t="shared" ca="1" si="322"/>
        <v>1.1626357377522627</v>
      </c>
      <c r="W738" s="304">
        <f t="shared" ca="1" si="323"/>
        <v>43.918111603761609</v>
      </c>
      <c r="Y738" s="314" t="str">
        <f t="shared" ca="1" si="341"/>
        <v/>
      </c>
      <c r="Z738" s="315" t="str">
        <f t="shared" ca="1" si="342"/>
        <v/>
      </c>
      <c r="AA738" s="316" t="str">
        <f t="shared" ca="1" si="343"/>
        <v/>
      </c>
      <c r="AC738" s="310" t="e">
        <f t="shared" ca="1" si="344"/>
        <v>#N/A</v>
      </c>
      <c r="AD738" s="323" t="e">
        <f t="shared" ca="1" si="345"/>
        <v>#N/A</v>
      </c>
      <c r="AE738" s="324" t="e">
        <f t="shared" ca="1" si="324"/>
        <v>#N/A</v>
      </c>
      <c r="AG738" s="306">
        <f t="shared" ca="1" si="346"/>
        <v>2.6910484246148973</v>
      </c>
      <c r="AH738" s="304">
        <f t="shared" ca="1" si="347"/>
        <v>-7.0996442185850741</v>
      </c>
    </row>
    <row r="739" spans="1:34" x14ac:dyDescent="0.2">
      <c r="A739" s="347">
        <f t="shared" ca="1" si="325"/>
        <v>0.1</v>
      </c>
      <c r="B739" s="304">
        <f t="shared" ca="1" si="326"/>
        <v>37.50000000000022</v>
      </c>
      <c r="D739" s="306">
        <f t="shared" ca="1" si="327"/>
        <v>-0.44422169156520358</v>
      </c>
      <c r="E739" s="307">
        <f t="shared" ca="1" si="328"/>
        <v>-2.6849997058793837</v>
      </c>
      <c r="F739" s="304">
        <f t="shared" ca="1" si="329"/>
        <v>2.7214989127003943</v>
      </c>
      <c r="G739" s="306">
        <f t="shared" ca="1" si="330"/>
        <v>7.8709733024414223</v>
      </c>
      <c r="H739" s="307">
        <f t="shared" ca="1" si="331"/>
        <v>-127.22581910667583</v>
      </c>
      <c r="I739" s="304">
        <f t="shared" ca="1" si="332"/>
        <v>127.46906004239753</v>
      </c>
      <c r="J739" s="306">
        <f t="shared" ca="1" si="333"/>
        <v>541.18744848082906</v>
      </c>
      <c r="K739" s="307">
        <f t="shared" ca="1" si="334"/>
        <v>509.68428243591944</v>
      </c>
      <c r="L739" s="304">
        <f t="shared" ca="1" si="319"/>
        <v>743.41235001539224</v>
      </c>
      <c r="M739" s="306">
        <f t="shared" ca="1" si="335"/>
        <v>-1.5090089120270254</v>
      </c>
      <c r="N739" s="304">
        <f t="shared" ca="1" si="336"/>
        <v>-86.459841906776688</v>
      </c>
      <c r="P739" s="310">
        <f t="shared" ca="1" si="337"/>
        <v>23</v>
      </c>
      <c r="Q739" s="304">
        <f t="shared" ca="1" si="338"/>
        <v>0</v>
      </c>
      <c r="R739" s="306">
        <f t="shared" ca="1" si="339"/>
        <v>0</v>
      </c>
      <c r="S739" s="307">
        <f t="shared" ca="1" si="340"/>
        <v>6.1519999999999921</v>
      </c>
      <c r="T739" s="304">
        <f t="shared" ca="1" si="320"/>
        <v>60.351119999999923</v>
      </c>
      <c r="U739" s="311">
        <f t="shared" ca="1" si="321"/>
        <v>0</v>
      </c>
      <c r="V739" s="306">
        <f t="shared" ca="1" si="322"/>
        <v>1.1641152747759562</v>
      </c>
      <c r="W739" s="304">
        <f t="shared" ca="1" si="323"/>
        <v>44.157570249924525</v>
      </c>
      <c r="Y739" s="314" t="str">
        <f t="shared" ca="1" si="341"/>
        <v/>
      </c>
      <c r="Z739" s="315" t="str">
        <f t="shared" ca="1" si="342"/>
        <v/>
      </c>
      <c r="AA739" s="316" t="str">
        <f t="shared" ca="1" si="343"/>
        <v/>
      </c>
      <c r="AC739" s="310" t="e">
        <f t="shared" ca="1" si="344"/>
        <v>#N/A</v>
      </c>
      <c r="AD739" s="323" t="e">
        <f t="shared" ca="1" si="345"/>
        <v>#N/A</v>
      </c>
      <c r="AE739" s="324" t="e">
        <f t="shared" ca="1" si="324"/>
        <v>#N/A</v>
      </c>
      <c r="AG739" s="306">
        <f t="shared" ca="1" si="346"/>
        <v>2.6521542170793211</v>
      </c>
      <c r="AH739" s="304">
        <f t="shared" ca="1" si="347"/>
        <v>-7.1388347860470844</v>
      </c>
    </row>
    <row r="740" spans="1:34" x14ac:dyDescent="0.2">
      <c r="A740" s="347">
        <f t="shared" ca="1" si="325"/>
        <v>0.1</v>
      </c>
      <c r="B740" s="304">
        <f t="shared" ca="1" si="326"/>
        <v>37.600000000000222</v>
      </c>
      <c r="D740" s="306">
        <f t="shared" ca="1" si="327"/>
        <v>-0.44321300755060833</v>
      </c>
      <c r="E740" s="307">
        <f t="shared" ca="1" si="328"/>
        <v>-2.6459383576019952</v>
      </c>
      <c r="F740" s="304">
        <f t="shared" ca="1" si="329"/>
        <v>2.6828021847112766</v>
      </c>
      <c r="G740" s="306">
        <f t="shared" ca="1" si="330"/>
        <v>7.8266520016863614</v>
      </c>
      <c r="H740" s="307">
        <f t="shared" ca="1" si="331"/>
        <v>-127.49041294243602</v>
      </c>
      <c r="I740" s="304">
        <f t="shared" ca="1" si="332"/>
        <v>127.73042657796286</v>
      </c>
      <c r="J740" s="306">
        <f t="shared" ca="1" si="333"/>
        <v>541.97232974603548</v>
      </c>
      <c r="K740" s="307">
        <f t="shared" ca="1" si="334"/>
        <v>496.94847083346383</v>
      </c>
      <c r="L740" s="304">
        <f t="shared" ca="1" si="319"/>
        <v>735.31747488691133</v>
      </c>
      <c r="M740" s="306">
        <f t="shared" ca="1" si="335"/>
        <v>-1.5094831521745518</v>
      </c>
      <c r="N740" s="304">
        <f t="shared" ca="1" si="336"/>
        <v>-86.487013865705606</v>
      </c>
      <c r="P740" s="310">
        <f t="shared" ca="1" si="337"/>
        <v>23</v>
      </c>
      <c r="Q740" s="304">
        <f t="shared" ca="1" si="338"/>
        <v>0</v>
      </c>
      <c r="R740" s="306">
        <f t="shared" ca="1" si="339"/>
        <v>0</v>
      </c>
      <c r="S740" s="307">
        <f t="shared" ca="1" si="340"/>
        <v>6.1519999999999921</v>
      </c>
      <c r="T740" s="304">
        <f t="shared" ca="1" si="320"/>
        <v>60.351119999999923</v>
      </c>
      <c r="U740" s="311">
        <f t="shared" ca="1" si="321"/>
        <v>0</v>
      </c>
      <c r="V740" s="306">
        <f t="shared" ca="1" si="322"/>
        <v>1.1655997553599511</v>
      </c>
      <c r="W740" s="304">
        <f t="shared" ca="1" si="323"/>
        <v>44.395380936901532</v>
      </c>
      <c r="Y740" s="314" t="str">
        <f t="shared" ca="1" si="341"/>
        <v/>
      </c>
      <c r="Z740" s="315" t="str">
        <f t="shared" ca="1" si="342"/>
        <v/>
      </c>
      <c r="AA740" s="316" t="str">
        <f t="shared" ca="1" si="343"/>
        <v/>
      </c>
      <c r="AC740" s="310" t="e">
        <f t="shared" ca="1" si="344"/>
        <v>#N/A</v>
      </c>
      <c r="AD740" s="323" t="e">
        <f t="shared" ca="1" si="345"/>
        <v>#N/A</v>
      </c>
      <c r="AE740" s="324" t="e">
        <f t="shared" ca="1" si="324"/>
        <v>#N/A</v>
      </c>
      <c r="AG740" s="306">
        <f t="shared" ca="1" si="346"/>
        <v>2.6135217204171264</v>
      </c>
      <c r="AH740" s="304">
        <f t="shared" ca="1" si="347"/>
        <v>-7.1777584931606926</v>
      </c>
    </row>
    <row r="741" spans="1:34" x14ac:dyDescent="0.2">
      <c r="A741" s="347">
        <f t="shared" ca="1" si="325"/>
        <v>0.1</v>
      </c>
      <c r="B741" s="304">
        <f t="shared" ca="1" si="326"/>
        <v>37.700000000000223</v>
      </c>
      <c r="D741" s="306">
        <f t="shared" ca="1" si="327"/>
        <v>-0.44218409933339881</v>
      </c>
      <c r="E741" s="307">
        <f t="shared" ca="1" si="328"/>
        <v>-2.6071457772176858</v>
      </c>
      <c r="F741" s="304">
        <f t="shared" ca="1" si="329"/>
        <v>2.6443781653476304</v>
      </c>
      <c r="G741" s="306">
        <f t="shared" ca="1" si="330"/>
        <v>7.7824335917530219</v>
      </c>
      <c r="H741" s="307">
        <f t="shared" ca="1" si="331"/>
        <v>-127.75112752015779</v>
      </c>
      <c r="I741" s="304">
        <f t="shared" ca="1" si="332"/>
        <v>127.98795589930195</v>
      </c>
      <c r="J741" s="306">
        <f t="shared" ca="1" si="333"/>
        <v>542.75278402570746</v>
      </c>
      <c r="K741" s="307">
        <f t="shared" ca="1" si="334"/>
        <v>484.18639381033415</v>
      </c>
      <c r="L741" s="304">
        <f t="shared" ca="1" si="319"/>
        <v>727.33558177687974</v>
      </c>
      <c r="M741" s="306">
        <f t="shared" ca="1" si="335"/>
        <v>-1.5099528100204729</v>
      </c>
      <c r="N741" s="304">
        <f t="shared" ca="1" si="336"/>
        <v>-86.513923278092093</v>
      </c>
      <c r="P741" s="310">
        <f t="shared" ca="1" si="337"/>
        <v>23</v>
      </c>
      <c r="Q741" s="304">
        <f t="shared" ca="1" si="338"/>
        <v>0</v>
      </c>
      <c r="R741" s="306">
        <f t="shared" ca="1" si="339"/>
        <v>0</v>
      </c>
      <c r="S741" s="307">
        <f t="shared" ca="1" si="340"/>
        <v>6.1519999999999921</v>
      </c>
      <c r="T741" s="304">
        <f t="shared" ca="1" si="320"/>
        <v>60.351119999999923</v>
      </c>
      <c r="U741" s="311">
        <f t="shared" ca="1" si="321"/>
        <v>0</v>
      </c>
      <c r="V741" s="306">
        <f t="shared" ca="1" si="322"/>
        <v>1.1670891490621387</v>
      </c>
      <c r="W741" s="304">
        <f t="shared" ca="1" si="323"/>
        <v>44.631537838063473</v>
      </c>
      <c r="Y741" s="314" t="str">
        <f t="shared" ca="1" si="341"/>
        <v/>
      </c>
      <c r="Z741" s="315" t="str">
        <f t="shared" ca="1" si="342"/>
        <v/>
      </c>
      <c r="AA741" s="316" t="str">
        <f t="shared" ca="1" si="343"/>
        <v/>
      </c>
      <c r="AC741" s="310" t="e">
        <f t="shared" ca="1" si="344"/>
        <v>#N/A</v>
      </c>
      <c r="AD741" s="323" t="e">
        <f t="shared" ca="1" si="345"/>
        <v>#N/A</v>
      </c>
      <c r="AE741" s="324" t="e">
        <f t="shared" ca="1" si="324"/>
        <v>#N/A</v>
      </c>
      <c r="AG741" s="306">
        <f t="shared" ca="1" si="346"/>
        <v>2.5751520564419579</v>
      </c>
      <c r="AH741" s="304">
        <f t="shared" ca="1" si="347"/>
        <v>-7.2164143265444718</v>
      </c>
    </row>
    <row r="742" spans="1:34" x14ac:dyDescent="0.2">
      <c r="A742" s="347">
        <f t="shared" ca="1" si="325"/>
        <v>0.1</v>
      </c>
      <c r="B742" s="304">
        <f t="shared" ca="1" si="326"/>
        <v>37.800000000000225</v>
      </c>
      <c r="D742" s="306">
        <f t="shared" ca="1" si="327"/>
        <v>-0.44113533375927444</v>
      </c>
      <c r="E742" s="307">
        <f t="shared" ca="1" si="328"/>
        <v>-2.5686229150162099</v>
      </c>
      <c r="F742" s="304">
        <f t="shared" ca="1" si="329"/>
        <v>2.6062279375060959</v>
      </c>
      <c r="G742" s="306">
        <f t="shared" ca="1" si="330"/>
        <v>7.7383200583770941</v>
      </c>
      <c r="H742" s="307">
        <f t="shared" ca="1" si="331"/>
        <v>-128.00798981165943</v>
      </c>
      <c r="I742" s="304">
        <f t="shared" ca="1" si="332"/>
        <v>128.24167440012545</v>
      </c>
      <c r="J742" s="306">
        <f t="shared" ca="1" si="333"/>
        <v>543.52882170821397</v>
      </c>
      <c r="K742" s="307">
        <f t="shared" ca="1" si="334"/>
        <v>471.39843794374332</v>
      </c>
      <c r="L742" s="304">
        <f t="shared" ca="1" si="319"/>
        <v>719.47207542983949</v>
      </c>
      <c r="M742" s="306">
        <f t="shared" ca="1" si="335"/>
        <v>-1.5104179526714987</v>
      </c>
      <c r="N742" s="304">
        <f t="shared" ca="1" si="336"/>
        <v>-86.540573988867408</v>
      </c>
      <c r="P742" s="310">
        <f t="shared" ca="1" si="337"/>
        <v>23</v>
      </c>
      <c r="Q742" s="304">
        <f t="shared" ca="1" si="338"/>
        <v>0</v>
      </c>
      <c r="R742" s="306">
        <f t="shared" ca="1" si="339"/>
        <v>0</v>
      </c>
      <c r="S742" s="307">
        <f t="shared" ca="1" si="340"/>
        <v>6.1519999999999921</v>
      </c>
      <c r="T742" s="304">
        <f t="shared" ca="1" si="320"/>
        <v>60.351119999999923</v>
      </c>
      <c r="U742" s="311">
        <f t="shared" ca="1" si="321"/>
        <v>0</v>
      </c>
      <c r="V742" s="306">
        <f t="shared" ca="1" si="322"/>
        <v>1.1685834256041097</v>
      </c>
      <c r="W742" s="304">
        <f t="shared" ca="1" si="323"/>
        <v>44.866035528778461</v>
      </c>
      <c r="Y742" s="314" t="str">
        <f t="shared" ca="1" si="341"/>
        <v/>
      </c>
      <c r="Z742" s="315" t="str">
        <f t="shared" ca="1" si="342"/>
        <v/>
      </c>
      <c r="AA742" s="316" t="str">
        <f t="shared" ca="1" si="343"/>
        <v/>
      </c>
      <c r="AC742" s="310" t="e">
        <f t="shared" ca="1" si="344"/>
        <v>#N/A</v>
      </c>
      <c r="AD742" s="323" t="e">
        <f t="shared" ca="1" si="345"/>
        <v>#N/A</v>
      </c>
      <c r="AE742" s="324" t="e">
        <f t="shared" ca="1" si="324"/>
        <v>#N/A</v>
      </c>
      <c r="AG742" s="306">
        <f t="shared" ca="1" si="346"/>
        <v>2.5370462778775318</v>
      </c>
      <c r="AH742" s="304">
        <f t="shared" ca="1" si="347"/>
        <v>-7.2548013390870496</v>
      </c>
    </row>
    <row r="743" spans="1:34" x14ac:dyDescent="0.2">
      <c r="A743" s="347">
        <f t="shared" ca="1" si="325"/>
        <v>0.1</v>
      </c>
      <c r="B743" s="304">
        <f t="shared" ca="1" si="326"/>
        <v>37.900000000000226</v>
      </c>
      <c r="D743" s="306">
        <f t="shared" ca="1" si="327"/>
        <v>-0.44006707593158201</v>
      </c>
      <c r="E743" s="307">
        <f t="shared" ca="1" si="328"/>
        <v>-2.530370655732364</v>
      </c>
      <c r="F743" s="304">
        <f t="shared" ca="1" si="329"/>
        <v>2.5683525238390477</v>
      </c>
      <c r="G743" s="306">
        <f t="shared" ca="1" si="330"/>
        <v>7.6943133507839363</v>
      </c>
      <c r="H743" s="307">
        <f t="shared" ca="1" si="331"/>
        <v>-128.26102687723267</v>
      </c>
      <c r="I743" s="304">
        <f t="shared" ca="1" si="332"/>
        <v>128.49160857247549</v>
      </c>
      <c r="J743" s="306">
        <f t="shared" ca="1" si="333"/>
        <v>544.30045337867205</v>
      </c>
      <c r="K743" s="307">
        <f t="shared" ca="1" si="334"/>
        <v>458.58498710929871</v>
      </c>
      <c r="L743" s="304">
        <f t="shared" ca="1" si="319"/>
        <v>711.73251573204357</v>
      </c>
      <c r="M743" s="306">
        <f t="shared" ca="1" si="335"/>
        <v>-1.5108786458324812</v>
      </c>
      <c r="N743" s="304">
        <f t="shared" ca="1" si="336"/>
        <v>-86.566969762642245</v>
      </c>
      <c r="P743" s="310">
        <f t="shared" ca="1" si="337"/>
        <v>23</v>
      </c>
      <c r="Q743" s="304">
        <f t="shared" ca="1" si="338"/>
        <v>0</v>
      </c>
      <c r="R743" s="306">
        <f t="shared" ca="1" si="339"/>
        <v>0</v>
      </c>
      <c r="S743" s="307">
        <f t="shared" ca="1" si="340"/>
        <v>6.1519999999999921</v>
      </c>
      <c r="T743" s="304">
        <f t="shared" ca="1" si="320"/>
        <v>60.351119999999923</v>
      </c>
      <c r="U743" s="311">
        <f t="shared" ca="1" si="321"/>
        <v>0</v>
      </c>
      <c r="V743" s="306">
        <f t="shared" ca="1" si="322"/>
        <v>1.1700825548724068</v>
      </c>
      <c r="W743" s="304">
        <f t="shared" ca="1" si="323"/>
        <v>45.098868980682447</v>
      </c>
      <c r="Y743" s="314" t="str">
        <f t="shared" ca="1" si="341"/>
        <v/>
      </c>
      <c r="Z743" s="315" t="str">
        <f t="shared" ca="1" si="342"/>
        <v/>
      </c>
      <c r="AA743" s="316" t="str">
        <f t="shared" ca="1" si="343"/>
        <v/>
      </c>
      <c r="AC743" s="310" t="e">
        <f t="shared" ca="1" si="344"/>
        <v>#N/A</v>
      </c>
      <c r="AD743" s="323" t="e">
        <f t="shared" ca="1" si="345"/>
        <v>#N/A</v>
      </c>
      <c r="AE743" s="324" t="e">
        <f t="shared" ca="1" si="324"/>
        <v>#N/A</v>
      </c>
      <c r="AG743" s="306">
        <f t="shared" ca="1" si="346"/>
        <v>2.4992053693715981</v>
      </c>
      <c r="AH743" s="304">
        <f t="shared" ca="1" si="347"/>
        <v>-7.2929186490212157</v>
      </c>
    </row>
    <row r="744" spans="1:34" x14ac:dyDescent="0.2">
      <c r="A744" s="347">
        <f t="shared" ca="1" si="325"/>
        <v>0.1</v>
      </c>
      <c r="B744" s="304">
        <f t="shared" ca="1" si="326"/>
        <v>38.000000000000227</v>
      </c>
      <c r="D744" s="306">
        <f t="shared" ca="1" si="327"/>
        <v>-0.43897968914359797</v>
      </c>
      <c r="E744" s="307">
        <f t="shared" ca="1" si="328"/>
        <v>-2.4923898194801453</v>
      </c>
      <c r="F744" s="304">
        <f t="shared" ca="1" si="329"/>
        <v>2.5307528879226595</v>
      </c>
      <c r="G744" s="306">
        <f t="shared" ca="1" si="330"/>
        <v>7.6504153818695766</v>
      </c>
      <c r="H744" s="307">
        <f t="shared" ca="1" si="331"/>
        <v>-128.51026585918069</v>
      </c>
      <c r="I744" s="304">
        <f t="shared" ca="1" si="332"/>
        <v>128.73778500002416</v>
      </c>
      <c r="J744" s="306">
        <f t="shared" ca="1" si="333"/>
        <v>545.06768981530467</v>
      </c>
      <c r="K744" s="307">
        <f t="shared" ca="1" si="334"/>
        <v>445.74642247247806</v>
      </c>
      <c r="L744" s="304">
        <f t="shared" ca="1" si="319"/>
        <v>704.12261689822617</v>
      </c>
      <c r="M744" s="306">
        <f t="shared" ca="1" si="335"/>
        <v>-1.5113349538428695</v>
      </c>
      <c r="N744" s="304">
        <f t="shared" ca="1" si="336"/>
        <v>-86.593114285795508</v>
      </c>
      <c r="P744" s="310">
        <f t="shared" ca="1" si="337"/>
        <v>23</v>
      </c>
      <c r="Q744" s="304">
        <f t="shared" ca="1" si="338"/>
        <v>0</v>
      </c>
      <c r="R744" s="306">
        <f t="shared" ca="1" si="339"/>
        <v>0</v>
      </c>
      <c r="S744" s="307">
        <f t="shared" ca="1" si="340"/>
        <v>6.1519999999999921</v>
      </c>
      <c r="T744" s="304">
        <f t="shared" ca="1" si="320"/>
        <v>60.351119999999923</v>
      </c>
      <c r="U744" s="311">
        <f t="shared" ca="1" si="321"/>
        <v>0</v>
      </c>
      <c r="V744" s="306">
        <f t="shared" ca="1" si="322"/>
        <v>1.1715865069197358</v>
      </c>
      <c r="W744" s="304">
        <f t="shared" ca="1" si="323"/>
        <v>45.330033555920984</v>
      </c>
      <c r="Y744" s="314" t="str">
        <f t="shared" ca="1" si="341"/>
        <v/>
      </c>
      <c r="Z744" s="315" t="str">
        <f t="shared" ca="1" si="342"/>
        <v/>
      </c>
      <c r="AA744" s="316" t="str">
        <f t="shared" ca="1" si="343"/>
        <v/>
      </c>
      <c r="AC744" s="310">
        <f t="shared" ca="1" si="344"/>
        <v>38.000000000000227</v>
      </c>
      <c r="AD744" s="323">
        <f t="shared" ca="1" si="345"/>
        <v>545.06768981530467</v>
      </c>
      <c r="AE744" s="324" t="e">
        <f t="shared" ca="1" si="324"/>
        <v>#N/A</v>
      </c>
      <c r="AG744" s="306">
        <f t="shared" ca="1" si="346"/>
        <v>2.4616302485121091</v>
      </c>
      <c r="AH744" s="304">
        <f t="shared" ca="1" si="347"/>
        <v>-7.3307654389926045</v>
      </c>
    </row>
    <row r="745" spans="1:34" x14ac:dyDescent="0.2">
      <c r="A745" s="347">
        <f t="shared" ca="1" si="325"/>
        <v>0.1</v>
      </c>
      <c r="B745" s="304">
        <f t="shared" ca="1" si="326"/>
        <v>38.100000000000229</v>
      </c>
      <c r="D745" s="306">
        <f t="shared" ca="1" si="327"/>
        <v>-0.43787353481285596</v>
      </c>
      <c r="E745" s="307">
        <f t="shared" ca="1" si="328"/>
        <v>-2.4546811626915988</v>
      </c>
      <c r="F745" s="304">
        <f t="shared" ca="1" si="329"/>
        <v>2.49342993544284</v>
      </c>
      <c r="G745" s="306">
        <f t="shared" ca="1" si="330"/>
        <v>7.6066280283882914</v>
      </c>
      <c r="H745" s="307">
        <f t="shared" ca="1" si="331"/>
        <v>-128.75573397544986</v>
      </c>
      <c r="I745" s="304">
        <f t="shared" ca="1" si="332"/>
        <v>128.98023035147315</v>
      </c>
      <c r="J745" s="306">
        <f t="shared" ca="1" si="333"/>
        <v>545.8305419858176</v>
      </c>
      <c r="K745" s="307">
        <f t="shared" ca="1" si="334"/>
        <v>432.88312248074652</v>
      </c>
      <c r="L745" s="304">
        <f t="shared" ca="1" si="319"/>
        <v>696.64824574042564</v>
      </c>
      <c r="M745" s="306">
        <f t="shared" ca="1" si="335"/>
        <v>-1.511786939712046</v>
      </c>
      <c r="N745" s="304">
        <f t="shared" ca="1" si="336"/>
        <v>-86.619011168498872</v>
      </c>
      <c r="P745" s="310">
        <f t="shared" ca="1" si="337"/>
        <v>23</v>
      </c>
      <c r="Q745" s="304">
        <f t="shared" ca="1" si="338"/>
        <v>0</v>
      </c>
      <c r="R745" s="306">
        <f t="shared" ca="1" si="339"/>
        <v>0</v>
      </c>
      <c r="S745" s="307">
        <f t="shared" ca="1" si="340"/>
        <v>6.1519999999999921</v>
      </c>
      <c r="T745" s="304">
        <f t="shared" ca="1" si="320"/>
        <v>60.351119999999923</v>
      </c>
      <c r="U745" s="311">
        <f t="shared" ca="1" si="321"/>
        <v>0</v>
      </c>
      <c r="V745" s="306">
        <f t="shared" ca="1" si="322"/>
        <v>1.1730952519661324</v>
      </c>
      <c r="W745" s="304">
        <f t="shared" ca="1" si="323"/>
        <v>45.55952500136442</v>
      </c>
      <c r="Y745" s="314" t="str">
        <f t="shared" ca="1" si="341"/>
        <v/>
      </c>
      <c r="Z745" s="315" t="str">
        <f t="shared" ca="1" si="342"/>
        <v/>
      </c>
      <c r="AA745" s="316" t="str">
        <f t="shared" ca="1" si="343"/>
        <v/>
      </c>
      <c r="AC745" s="310" t="e">
        <f t="shared" ca="1" si="344"/>
        <v>#N/A</v>
      </c>
      <c r="AD745" s="323" t="e">
        <f t="shared" ca="1" si="345"/>
        <v>#N/A</v>
      </c>
      <c r="AE745" s="324" t="e">
        <f t="shared" ca="1" si="324"/>
        <v>#N/A</v>
      </c>
      <c r="AG745" s="306">
        <f t="shared" ca="1" si="346"/>
        <v>2.4243217668450292</v>
      </c>
      <c r="AH745" s="304">
        <f t="shared" ca="1" si="347"/>
        <v>-7.3683409551237062</v>
      </c>
    </row>
    <row r="746" spans="1:34" x14ac:dyDescent="0.2">
      <c r="A746" s="347">
        <f t="shared" ca="1" si="325"/>
        <v>0.1</v>
      </c>
      <c r="B746" s="304">
        <f t="shared" ca="1" si="326"/>
        <v>38.20000000000023</v>
      </c>
      <c r="D746" s="306">
        <f t="shared" ca="1" si="327"/>
        <v>-0.43674897241750316</v>
      </c>
      <c r="E746" s="307">
        <f t="shared" ca="1" si="328"/>
        <v>-2.4172453790600077</v>
      </c>
      <c r="F746" s="304">
        <f t="shared" ca="1" si="329"/>
        <v>2.4563845153995549</v>
      </c>
      <c r="G746" s="306">
        <f t="shared" ca="1" si="330"/>
        <v>7.562953131146541</v>
      </c>
      <c r="H746" s="307">
        <f t="shared" ca="1" si="331"/>
        <v>-128.99745851335587</v>
      </c>
      <c r="I746" s="304">
        <f t="shared" ca="1" si="332"/>
        <v>129.21897137405517</v>
      </c>
      <c r="J746" s="306">
        <f t="shared" ca="1" si="333"/>
        <v>546.58902104379433</v>
      </c>
      <c r="K746" s="307">
        <f t="shared" ca="1" si="334"/>
        <v>419.99546285630623</v>
      </c>
      <c r="L746" s="304">
        <f t="shared" ca="1" si="319"/>
        <v>689.31541890885933</v>
      </c>
      <c r="M746" s="306">
        <f t="shared" ca="1" si="335"/>
        <v>-1.5122346651535798</v>
      </c>
      <c r="N746" s="304">
        <f t="shared" ca="1" si="336"/>
        <v>-86.644663946679387</v>
      </c>
      <c r="P746" s="310">
        <f t="shared" ca="1" si="337"/>
        <v>23</v>
      </c>
      <c r="Q746" s="304">
        <f t="shared" ca="1" si="338"/>
        <v>0</v>
      </c>
      <c r="R746" s="306">
        <f t="shared" ca="1" si="339"/>
        <v>0</v>
      </c>
      <c r="S746" s="307">
        <f t="shared" ca="1" si="340"/>
        <v>6.1519999999999921</v>
      </c>
      <c r="T746" s="304">
        <f t="shared" ca="1" si="320"/>
        <v>60.351119999999923</v>
      </c>
      <c r="U746" s="311">
        <f t="shared" ca="1" si="321"/>
        <v>0</v>
      </c>
      <c r="V746" s="306">
        <f t="shared" ca="1" si="322"/>
        <v>1.1746087604000861</v>
      </c>
      <c r="W746" s="304">
        <f t="shared" ca="1" si="323"/>
        <v>45.78733944280053</v>
      </c>
      <c r="Y746" s="314" t="str">
        <f t="shared" ca="1" si="341"/>
        <v/>
      </c>
      <c r="Z746" s="315" t="str">
        <f t="shared" ca="1" si="342"/>
        <v/>
      </c>
      <c r="AA746" s="316" t="str">
        <f t="shared" ca="1" si="343"/>
        <v/>
      </c>
      <c r="AC746" s="310" t="e">
        <f t="shared" ca="1" si="344"/>
        <v>#N/A</v>
      </c>
      <c r="AD746" s="323" t="e">
        <f t="shared" ca="1" si="345"/>
        <v>#N/A</v>
      </c>
      <c r="AE746" s="324" t="e">
        <f t="shared" ca="1" si="324"/>
        <v>#N/A</v>
      </c>
      <c r="AG746" s="306">
        <f t="shared" ca="1" si="346"/>
        <v>2.3872807108935223</v>
      </c>
      <c r="AH746" s="304">
        <f t="shared" ca="1" si="347"/>
        <v>-7.4056445060735498</v>
      </c>
    </row>
    <row r="747" spans="1:34" x14ac:dyDescent="0.2">
      <c r="A747" s="347">
        <f t="shared" ca="1" si="325"/>
        <v>0.1</v>
      </c>
      <c r="B747" s="304">
        <f t="shared" ca="1" si="326"/>
        <v>38.300000000000232</v>
      </c>
      <c r="D747" s="306">
        <f t="shared" ca="1" si="327"/>
        <v>-0.43560635943470322</v>
      </c>
      <c r="E747" s="307">
        <f t="shared" ca="1" si="328"/>
        <v>-2.380083100486786</v>
      </c>
      <c r="F747" s="304">
        <f t="shared" ca="1" si="329"/>
        <v>2.4196174213298161</v>
      </c>
      <c r="G747" s="306">
        <f t="shared" ca="1" si="330"/>
        <v>7.5193924952030704</v>
      </c>
      <c r="H747" s="307">
        <f t="shared" ca="1" si="331"/>
        <v>-129.23546682340455</v>
      </c>
      <c r="I747" s="304">
        <f t="shared" ca="1" si="332"/>
        <v>129.45403488713751</v>
      </c>
      <c r="J747" s="306">
        <f t="shared" ca="1" si="333"/>
        <v>547.34313832511179</v>
      </c>
      <c r="K747" s="307">
        <f t="shared" ca="1" si="334"/>
        <v>407.0838165894682</v>
      </c>
      <c r="L747" s="304">
        <f t="shared" ca="1" si="319"/>
        <v>682.13029899032506</v>
      </c>
      <c r="M747" s="306">
        <f t="shared" ca="1" si="335"/>
        <v>-1.5126781906184437</v>
      </c>
      <c r="N747" s="304">
        <f t="shared" ca="1" si="336"/>
        <v>-86.670076083922666</v>
      </c>
      <c r="P747" s="310">
        <f t="shared" ca="1" si="337"/>
        <v>23</v>
      </c>
      <c r="Q747" s="304">
        <f t="shared" ca="1" si="338"/>
        <v>0</v>
      </c>
      <c r="R747" s="306">
        <f t="shared" ca="1" si="339"/>
        <v>0</v>
      </c>
      <c r="S747" s="307">
        <f t="shared" ca="1" si="340"/>
        <v>6.1519999999999921</v>
      </c>
      <c r="T747" s="304">
        <f t="shared" ca="1" si="320"/>
        <v>60.351119999999923</v>
      </c>
      <c r="U747" s="311">
        <f t="shared" ca="1" si="321"/>
        <v>0</v>
      </c>
      <c r="V747" s="306">
        <f t="shared" ca="1" si="322"/>
        <v>1.1761270027796222</v>
      </c>
      <c r="W747" s="304">
        <f t="shared" ca="1" si="323"/>
        <v>46.013473379107822</v>
      </c>
      <c r="Y747" s="314" t="str">
        <f t="shared" ca="1" si="341"/>
        <v/>
      </c>
      <c r="Z747" s="315" t="str">
        <f t="shared" ca="1" si="342"/>
        <v/>
      </c>
      <c r="AA747" s="316" t="str">
        <f t="shared" ca="1" si="343"/>
        <v/>
      </c>
      <c r="AC747" s="310" t="e">
        <f t="shared" ca="1" si="344"/>
        <v>#N/A</v>
      </c>
      <c r="AD747" s="323" t="e">
        <f t="shared" ca="1" si="345"/>
        <v>#N/A</v>
      </c>
      <c r="AE747" s="324" t="e">
        <f t="shared" ca="1" si="324"/>
        <v>#N/A</v>
      </c>
      <c r="AG747" s="306">
        <f t="shared" ca="1" si="346"/>
        <v>2.3505078031779858</v>
      </c>
      <c r="AH747" s="304">
        <f t="shared" ca="1" si="347"/>
        <v>-7.4426754620937237</v>
      </c>
    </row>
    <row r="748" spans="1:34" x14ac:dyDescent="0.2">
      <c r="A748" s="347">
        <f t="shared" ca="1" si="325"/>
        <v>0.1</v>
      </c>
      <c r="B748" s="304">
        <f t="shared" ca="1" si="326"/>
        <v>38.400000000000233</v>
      </c>
      <c r="D748" s="306">
        <f t="shared" ca="1" si="327"/>
        <v>-0.43444605128100922</v>
      </c>
      <c r="E748" s="307">
        <f t="shared" ca="1" si="328"/>
        <v>-2.3431948980314985</v>
      </c>
      <c r="F748" s="304">
        <f t="shared" ca="1" si="329"/>
        <v>2.3831293925497428</v>
      </c>
      <c r="G748" s="306">
        <f t="shared" ca="1" si="330"/>
        <v>7.4759478900749698</v>
      </c>
      <c r="H748" s="307">
        <f t="shared" ca="1" si="331"/>
        <v>-129.46978631320769</v>
      </c>
      <c r="I748" s="304">
        <f t="shared" ca="1" si="332"/>
        <v>129.68544777592734</v>
      </c>
      <c r="J748" s="306">
        <f t="shared" ca="1" si="333"/>
        <v>548.09290534437571</v>
      </c>
      <c r="K748" s="307">
        <f t="shared" ca="1" si="334"/>
        <v>394.14855393263758</v>
      </c>
      <c r="L748" s="304">
        <f t="shared" ca="1" si="319"/>
        <v>675.09918934629752</v>
      </c>
      <c r="M748" s="306">
        <f t="shared" ca="1" si="335"/>
        <v>-1.5131175753272217</v>
      </c>
      <c r="N748" s="304">
        <f t="shared" ca="1" si="336"/>
        <v>-86.695250973318224</v>
      </c>
      <c r="P748" s="310">
        <f t="shared" ca="1" si="337"/>
        <v>23</v>
      </c>
      <c r="Q748" s="304">
        <f t="shared" ca="1" si="338"/>
        <v>0</v>
      </c>
      <c r="R748" s="306">
        <f t="shared" ca="1" si="339"/>
        <v>0</v>
      </c>
      <c r="S748" s="307">
        <f t="shared" ca="1" si="340"/>
        <v>6.1519999999999921</v>
      </c>
      <c r="T748" s="304">
        <f t="shared" ca="1" si="320"/>
        <v>60.351119999999923</v>
      </c>
      <c r="U748" s="311">
        <f t="shared" ca="1" si="321"/>
        <v>0</v>
      </c>
      <c r="V748" s="306">
        <f t="shared" ca="1" si="322"/>
        <v>1.1776499498333433</v>
      </c>
      <c r="W748" s="304">
        <f t="shared" ca="1" si="323"/>
        <v>46.237923676412592</v>
      </c>
      <c r="Y748" s="314" t="str">
        <f t="shared" ca="1" si="341"/>
        <v/>
      </c>
      <c r="Z748" s="315" t="str">
        <f t="shared" ca="1" si="342"/>
        <v/>
      </c>
      <c r="AA748" s="316" t="str">
        <f t="shared" ca="1" si="343"/>
        <v/>
      </c>
      <c r="AC748" s="310" t="e">
        <f t="shared" ca="1" si="344"/>
        <v>#N/A</v>
      </c>
      <c r="AD748" s="323" t="e">
        <f t="shared" ca="1" si="345"/>
        <v>#N/A</v>
      </c>
      <c r="AE748" s="324" t="e">
        <f t="shared" ca="1" si="324"/>
        <v>#N/A</v>
      </c>
      <c r="AG748" s="306">
        <f t="shared" ca="1" si="346"/>
        <v>2.3140037032365344</v>
      </c>
      <c r="AH748" s="304">
        <f t="shared" ca="1" si="347"/>
        <v>-7.4794332540812549</v>
      </c>
    </row>
    <row r="749" spans="1:34" x14ac:dyDescent="0.2">
      <c r="A749" s="347">
        <f t="shared" ca="1" si="325"/>
        <v>0.1</v>
      </c>
      <c r="B749" s="304">
        <f t="shared" ca="1" si="326"/>
        <v>38.500000000000234</v>
      </c>
      <c r="D749" s="306">
        <f t="shared" ca="1" si="327"/>
        <v>-0.43326840125474952</v>
      </c>
      <c r="E749" s="307">
        <f t="shared" ca="1" si="328"/>
        <v>-2.3065812828645758</v>
      </c>
      <c r="F749" s="304">
        <f t="shared" ca="1" si="329"/>
        <v>2.3469211154163316</v>
      </c>
      <c r="G749" s="306">
        <f t="shared" ca="1" si="330"/>
        <v>7.4326210499494945</v>
      </c>
      <c r="H749" s="307">
        <f t="shared" ca="1" si="331"/>
        <v>-129.70044444149414</v>
      </c>
      <c r="I749" s="304">
        <f t="shared" ca="1" si="332"/>
        <v>129.91323698527899</v>
      </c>
      <c r="J749" s="306">
        <f t="shared" ca="1" si="333"/>
        <v>548.83833379137695</v>
      </c>
      <c r="K749" s="307">
        <f t="shared" ca="1" si="334"/>
        <v>381.19004239490249</v>
      </c>
      <c r="L749" s="304">
        <f t="shared" ca="1" si="319"/>
        <v>668.22852757116141</v>
      </c>
      <c r="M749" s="306">
        <f t="shared" ca="1" si="335"/>
        <v>-1.5135528773013502</v>
      </c>
      <c r="N749" s="304">
        <f t="shared" ca="1" si="336"/>
        <v>-86.720191939249503</v>
      </c>
      <c r="P749" s="310">
        <f t="shared" ca="1" si="337"/>
        <v>23</v>
      </c>
      <c r="Q749" s="304">
        <f t="shared" ca="1" si="338"/>
        <v>0</v>
      </c>
      <c r="R749" s="306">
        <f t="shared" ca="1" si="339"/>
        <v>0</v>
      </c>
      <c r="S749" s="307">
        <f t="shared" ca="1" si="340"/>
        <v>6.1519999999999921</v>
      </c>
      <c r="T749" s="304">
        <f t="shared" ca="1" si="320"/>
        <v>60.351119999999923</v>
      </c>
      <c r="U749" s="311">
        <f t="shared" ca="1" si="321"/>
        <v>0</v>
      </c>
      <c r="V749" s="306">
        <f t="shared" ca="1" si="322"/>
        <v>1.179177572461428</v>
      </c>
      <c r="W749" s="304">
        <f t="shared" ca="1" si="323"/>
        <v>46.460687562232927</v>
      </c>
      <c r="Y749" s="314" t="str">
        <f t="shared" ca="1" si="341"/>
        <v/>
      </c>
      <c r="Z749" s="315" t="str">
        <f t="shared" ca="1" si="342"/>
        <v/>
      </c>
      <c r="AA749" s="316" t="str">
        <f t="shared" ca="1" si="343"/>
        <v/>
      </c>
      <c r="AC749" s="310" t="e">
        <f t="shared" ca="1" si="344"/>
        <v>#N/A</v>
      </c>
      <c r="AD749" s="323" t="e">
        <f t="shared" ca="1" si="345"/>
        <v>#N/A</v>
      </c>
      <c r="AE749" s="324" t="e">
        <f t="shared" ca="1" si="324"/>
        <v>#N/A</v>
      </c>
      <c r="AG749" s="306">
        <f t="shared" ca="1" si="346"/>
        <v>2.27776900864552</v>
      </c>
      <c r="AH749" s="304">
        <f t="shared" ca="1" si="347"/>
        <v>-7.5159173726288442</v>
      </c>
    </row>
    <row r="750" spans="1:34" x14ac:dyDescent="0.2">
      <c r="A750" s="347">
        <f t="shared" ca="1" si="325"/>
        <v>0.1</v>
      </c>
      <c r="B750" s="304">
        <f t="shared" ca="1" si="326"/>
        <v>38.600000000000236</v>
      </c>
      <c r="D750" s="306">
        <f t="shared" ca="1" si="327"/>
        <v>-0.43207376048036517</v>
      </c>
      <c r="E750" s="307">
        <f t="shared" ca="1" si="328"/>
        <v>-2.2702427072221321</v>
      </c>
      <c r="F750" s="304">
        <f t="shared" ca="1" si="329"/>
        <v>2.3109932246094793</v>
      </c>
      <c r="G750" s="306">
        <f t="shared" ca="1" si="330"/>
        <v>7.3894136739014575</v>
      </c>
      <c r="H750" s="307">
        <f t="shared" ca="1" si="331"/>
        <v>-129.92746871221635</v>
      </c>
      <c r="I750" s="304">
        <f t="shared" ca="1" si="332"/>
        <v>130.13742951360305</v>
      </c>
      <c r="J750" s="306">
        <f t="shared" ca="1" si="333"/>
        <v>549.57943552756956</v>
      </c>
      <c r="K750" s="307">
        <f t="shared" ca="1" si="334"/>
        <v>368.20864673721695</v>
      </c>
      <c r="L750" s="304">
        <f t="shared" ca="1" si="319"/>
        <v>661.52487745122221</v>
      </c>
      <c r="M750" s="306">
        <f t="shared" ca="1" si="335"/>
        <v>-1.5139841533934231</v>
      </c>
      <c r="N750" s="304">
        <f t="shared" ca="1" si="336"/>
        <v>-86.74490223913017</v>
      </c>
      <c r="P750" s="310">
        <f t="shared" ca="1" si="337"/>
        <v>23</v>
      </c>
      <c r="Q750" s="304">
        <f t="shared" ca="1" si="338"/>
        <v>0</v>
      </c>
      <c r="R750" s="306">
        <f t="shared" ca="1" si="339"/>
        <v>0</v>
      </c>
      <c r="S750" s="307">
        <f t="shared" ca="1" si="340"/>
        <v>6.1519999999999921</v>
      </c>
      <c r="T750" s="304">
        <f t="shared" ca="1" si="320"/>
        <v>60.351119999999923</v>
      </c>
      <c r="U750" s="311">
        <f t="shared" ca="1" si="321"/>
        <v>0</v>
      </c>
      <c r="V750" s="306">
        <f t="shared" ca="1" si="322"/>
        <v>1.1807098417365882</v>
      </c>
      <c r="W750" s="304">
        <f t="shared" ca="1" si="323"/>
        <v>46.681762619612492</v>
      </c>
      <c r="Y750" s="314" t="str">
        <f t="shared" ca="1" si="341"/>
        <v/>
      </c>
      <c r="Z750" s="315" t="str">
        <f t="shared" ca="1" si="342"/>
        <v/>
      </c>
      <c r="AA750" s="316" t="str">
        <f t="shared" ca="1" si="343"/>
        <v/>
      </c>
      <c r="AC750" s="310" t="e">
        <f t="shared" ca="1" si="344"/>
        <v>#N/A</v>
      </c>
      <c r="AD750" s="323" t="e">
        <f t="shared" ca="1" si="345"/>
        <v>#N/A</v>
      </c>
      <c r="AE750" s="324" t="e">
        <f t="shared" ca="1" si="324"/>
        <v>#N/A</v>
      </c>
      <c r="AG750" s="306">
        <f t="shared" ca="1" si="346"/>
        <v>2.2418042560397122</v>
      </c>
      <c r="AH750" s="304">
        <f t="shared" ca="1" si="347"/>
        <v>-7.5521273670729823</v>
      </c>
    </row>
    <row r="751" spans="1:34" x14ac:dyDescent="0.2">
      <c r="A751" s="347">
        <f t="shared" ca="1" si="325"/>
        <v>0.1</v>
      </c>
      <c r="B751" s="304">
        <f t="shared" ca="1" si="326"/>
        <v>38.700000000000237</v>
      </c>
      <c r="D751" s="306">
        <f t="shared" ca="1" si="327"/>
        <v>-0.4308624778546849</v>
      </c>
      <c r="E751" s="307">
        <f t="shared" ca="1" si="328"/>
        <v>-2.2341795653624752</v>
      </c>
      <c r="F751" s="304">
        <f t="shared" ca="1" si="329"/>
        <v>2.2753463044350717</v>
      </c>
      <c r="G751" s="306">
        <f t="shared" ca="1" si="330"/>
        <v>7.3463274261159892</v>
      </c>
      <c r="H751" s="307">
        <f t="shared" ca="1" si="331"/>
        <v>-130.15088666875261</v>
      </c>
      <c r="I751" s="304">
        <f t="shared" ca="1" si="332"/>
        <v>130.35805240687736</v>
      </c>
      <c r="J751" s="306">
        <f t="shared" ca="1" si="333"/>
        <v>550.31622258257039</v>
      </c>
      <c r="K751" s="307">
        <f t="shared" ca="1" si="334"/>
        <v>355.20472896816852</v>
      </c>
      <c r="L751" s="304">
        <f t="shared" ca="1" si="319"/>
        <v>654.99491930769909</v>
      </c>
      <c r="M751" s="306">
        <f t="shared" ca="1" si="335"/>
        <v>-1.5144114593165912</v>
      </c>
      <c r="N751" s="304">
        <f t="shared" ca="1" si="336"/>
        <v>-86.769385065088642</v>
      </c>
      <c r="P751" s="310">
        <f t="shared" ca="1" si="337"/>
        <v>23</v>
      </c>
      <c r="Q751" s="304">
        <f t="shared" ca="1" si="338"/>
        <v>0</v>
      </c>
      <c r="R751" s="306">
        <f t="shared" ca="1" si="339"/>
        <v>0</v>
      </c>
      <c r="S751" s="307">
        <f t="shared" ca="1" si="340"/>
        <v>6.1519999999999921</v>
      </c>
      <c r="T751" s="304">
        <f t="shared" ca="1" si="320"/>
        <v>60.351119999999923</v>
      </c>
      <c r="U751" s="311">
        <f t="shared" ca="1" si="321"/>
        <v>0</v>
      </c>
      <c r="V751" s="306">
        <f t="shared" ca="1" si="322"/>
        <v>1.1822467289049898</v>
      </c>
      <c r="W751" s="304">
        <f t="shared" ca="1" si="323"/>
        <v>46.901146781247554</v>
      </c>
      <c r="Y751" s="314" t="str">
        <f t="shared" ca="1" si="341"/>
        <v/>
      </c>
      <c r="Z751" s="315" t="str">
        <f t="shared" ca="1" si="342"/>
        <v/>
      </c>
      <c r="AA751" s="316" t="str">
        <f t="shared" ca="1" si="343"/>
        <v/>
      </c>
      <c r="AC751" s="310" t="e">
        <f t="shared" ca="1" si="344"/>
        <v>#N/A</v>
      </c>
      <c r="AD751" s="323" t="e">
        <f t="shared" ca="1" si="345"/>
        <v>#N/A</v>
      </c>
      <c r="AE751" s="324" t="e">
        <f t="shared" ca="1" si="324"/>
        <v>#N/A</v>
      </c>
      <c r="AG751" s="306">
        <f t="shared" ca="1" si="346"/>
        <v>2.2061099221317102</v>
      </c>
      <c r="AH751" s="304">
        <f t="shared" ca="1" si="347"/>
        <v>-7.5880628445404019</v>
      </c>
    </row>
    <row r="752" spans="1:34" x14ac:dyDescent="0.2">
      <c r="A752" s="347">
        <f t="shared" ca="1" si="325"/>
        <v>0.1</v>
      </c>
      <c r="B752" s="304">
        <f t="shared" ca="1" si="326"/>
        <v>38.800000000000239</v>
      </c>
      <c r="D752" s="306">
        <f t="shared" ca="1" si="327"/>
        <v>-0.42963489999514459</v>
      </c>
      <c r="E752" s="307">
        <f t="shared" ca="1" si="328"/>
        <v>-2.1983921945237181</v>
      </c>
      <c r="F752" s="304">
        <f t="shared" ca="1" si="329"/>
        <v>2.2399808901498797</v>
      </c>
      <c r="G752" s="306">
        <f t="shared" ca="1" si="330"/>
        <v>7.3033639361164751</v>
      </c>
      <c r="H752" s="307">
        <f t="shared" ca="1" si="331"/>
        <v>-130.37072588820499</v>
      </c>
      <c r="I752" s="304">
        <f t="shared" ca="1" si="332"/>
        <v>130.57513275275983</v>
      </c>
      <c r="J752" s="306">
        <f t="shared" ca="1" si="333"/>
        <v>551.04870715068205</v>
      </c>
      <c r="K752" s="307">
        <f t="shared" ca="1" si="334"/>
        <v>342.17864834032065</v>
      </c>
      <c r="L752" s="304">
        <f t="shared" ca="1" si="319"/>
        <v>648.64543861222603</v>
      </c>
      <c r="M752" s="306">
        <f t="shared" ca="1" si="335"/>
        <v>-1.5148348496730928</v>
      </c>
      <c r="N752" s="304">
        <f t="shared" ca="1" si="336"/>
        <v>-86.793643545602734</v>
      </c>
      <c r="P752" s="310">
        <f t="shared" ca="1" si="337"/>
        <v>23</v>
      </c>
      <c r="Q752" s="304">
        <f t="shared" ca="1" si="338"/>
        <v>0</v>
      </c>
      <c r="R752" s="306">
        <f t="shared" ca="1" si="339"/>
        <v>0</v>
      </c>
      <c r="S752" s="307">
        <f t="shared" ca="1" si="340"/>
        <v>6.1519999999999921</v>
      </c>
      <c r="T752" s="304">
        <f t="shared" ca="1" si="320"/>
        <v>60.351119999999923</v>
      </c>
      <c r="U752" s="311">
        <f t="shared" ca="1" si="321"/>
        <v>0</v>
      </c>
      <c r="V752" s="306">
        <f t="shared" ca="1" si="322"/>
        <v>1.1837882053871267</v>
      </c>
      <c r="W752" s="304">
        <f t="shared" ca="1" si="323"/>
        <v>47.118838323609744</v>
      </c>
      <c r="Y752" s="314" t="str">
        <f t="shared" ca="1" si="341"/>
        <v/>
      </c>
      <c r="Z752" s="315" t="str">
        <f t="shared" ca="1" si="342"/>
        <v/>
      </c>
      <c r="AA752" s="316" t="str">
        <f t="shared" ca="1" si="343"/>
        <v/>
      </c>
      <c r="AC752" s="310" t="e">
        <f t="shared" ca="1" si="344"/>
        <v>#N/A</v>
      </c>
      <c r="AD752" s="323" t="e">
        <f t="shared" ca="1" si="345"/>
        <v>#N/A</v>
      </c>
      <c r="AE752" s="324" t="e">
        <f t="shared" ca="1" si="324"/>
        <v>#N/A</v>
      </c>
      <c r="AG752" s="306">
        <f t="shared" ca="1" si="346"/>
        <v>2.1706864247301931</v>
      </c>
      <c r="AH752" s="304">
        <f t="shared" ca="1" si="347"/>
        <v>-7.6237234689934352</v>
      </c>
    </row>
    <row r="753" spans="1:34" x14ac:dyDescent="0.2">
      <c r="A753" s="347">
        <f t="shared" ca="1" si="325"/>
        <v>0.1</v>
      </c>
      <c r="B753" s="304">
        <f t="shared" ca="1" si="326"/>
        <v>38.90000000000024</v>
      </c>
      <c r="D753" s="306">
        <f t="shared" ca="1" si="327"/>
        <v>-0.42839137118989029</v>
      </c>
      <c r="E753" s="307">
        <f t="shared" ca="1" si="328"/>
        <v>-2.1628808758820908</v>
      </c>
      <c r="F753" s="304">
        <f t="shared" ca="1" si="329"/>
        <v>2.2048974693092727</v>
      </c>
      <c r="G753" s="306">
        <f t="shared" ca="1" si="330"/>
        <v>7.2605247989974862</v>
      </c>
      <c r="H753" s="307">
        <f t="shared" ca="1" si="331"/>
        <v>-130.58701397579318</v>
      </c>
      <c r="I753" s="304">
        <f t="shared" ca="1" si="332"/>
        <v>130.78869767480239</v>
      </c>
      <c r="J753" s="306">
        <f t="shared" ca="1" si="333"/>
        <v>551.77690158743769</v>
      </c>
      <c r="K753" s="307">
        <f t="shared" ca="1" si="334"/>
        <v>329.13076134712071</v>
      </c>
      <c r="L753" s="304">
        <f t="shared" ca="1" si="319"/>
        <v>642.48331277191028</v>
      </c>
      <c r="M753" s="306">
        <f t="shared" ca="1" si="335"/>
        <v>-1.5152543779819407</v>
      </c>
      <c r="N753" s="304">
        <f t="shared" ca="1" si="336"/>
        <v>-86.817680747085973</v>
      </c>
      <c r="P753" s="310">
        <f t="shared" ca="1" si="337"/>
        <v>23</v>
      </c>
      <c r="Q753" s="304">
        <f t="shared" ca="1" si="338"/>
        <v>0</v>
      </c>
      <c r="R753" s="306">
        <f t="shared" ca="1" si="339"/>
        <v>0</v>
      </c>
      <c r="S753" s="307">
        <f t="shared" ca="1" si="340"/>
        <v>6.1519999999999921</v>
      </c>
      <c r="T753" s="304">
        <f t="shared" ca="1" si="320"/>
        <v>60.351119999999923</v>
      </c>
      <c r="U753" s="311">
        <f t="shared" ca="1" si="321"/>
        <v>0</v>
      </c>
      <c r="V753" s="306">
        <f t="shared" ca="1" si="322"/>
        <v>1.1853342427786613</v>
      </c>
      <c r="W753" s="304">
        <f t="shared" ca="1" si="323"/>
        <v>47.334835861067376</v>
      </c>
      <c r="Y753" s="314" t="str">
        <f t="shared" ca="1" si="341"/>
        <v/>
      </c>
      <c r="Z753" s="315" t="str">
        <f t="shared" ca="1" si="342"/>
        <v/>
      </c>
      <c r="AA753" s="316" t="str">
        <f t="shared" ca="1" si="343"/>
        <v/>
      </c>
      <c r="AC753" s="310" t="e">
        <f t="shared" ca="1" si="344"/>
        <v>#N/A</v>
      </c>
      <c r="AD753" s="323" t="e">
        <f t="shared" ca="1" si="345"/>
        <v>#N/A</v>
      </c>
      <c r="AE753" s="324" t="e">
        <f t="shared" ca="1" si="324"/>
        <v>#N/A</v>
      </c>
      <c r="AG753" s="306">
        <f t="shared" ca="1" si="346"/>
        <v>2.1355341237566474</v>
      </c>
      <c r="AH753" s="304">
        <f t="shared" ca="1" si="347"/>
        <v>-7.6591089602746756</v>
      </c>
    </row>
    <row r="754" spans="1:34" x14ac:dyDescent="0.2">
      <c r="A754" s="347">
        <f t="shared" ca="1" si="325"/>
        <v>0.1</v>
      </c>
      <c r="B754" s="304">
        <f t="shared" ca="1" si="326"/>
        <v>39.000000000000242</v>
      </c>
      <c r="D754" s="306">
        <f t="shared" ca="1" si="327"/>
        <v>-0.42713223334976558</v>
      </c>
      <c r="E754" s="307">
        <f t="shared" ca="1" si="328"/>
        <v>-2.1276458355104957</v>
      </c>
      <c r="F754" s="304">
        <f t="shared" ca="1" si="329"/>
        <v>2.170096483138829</v>
      </c>
      <c r="G754" s="306">
        <f t="shared" ca="1" si="330"/>
        <v>7.2178115756625099</v>
      </c>
      <c r="H754" s="307">
        <f t="shared" ca="1" si="331"/>
        <v>-130.79977855934425</v>
      </c>
      <c r="I754" s="304">
        <f t="shared" ca="1" si="332"/>
        <v>130.99877432676712</v>
      </c>
      <c r="J754" s="306">
        <f t="shared" ca="1" si="333"/>
        <v>552.50081840617065</v>
      </c>
      <c r="K754" s="307">
        <f t="shared" ca="1" si="334"/>
        <v>316.06142172036385</v>
      </c>
      <c r="L754" s="304">
        <f t="shared" ca="1" si="319"/>
        <v>636.51549599313455</v>
      </c>
      <c r="M754" s="306">
        <f t="shared" ca="1" si="335"/>
        <v>-1.5156700967057943</v>
      </c>
      <c r="N754" s="304">
        <f t="shared" ca="1" si="336"/>
        <v>-86.841499675427357</v>
      </c>
      <c r="P754" s="310">
        <f t="shared" ca="1" si="337"/>
        <v>23</v>
      </c>
      <c r="Q754" s="304">
        <f t="shared" ca="1" si="338"/>
        <v>0</v>
      </c>
      <c r="R754" s="306">
        <f t="shared" ca="1" si="339"/>
        <v>0</v>
      </c>
      <c r="S754" s="307">
        <f t="shared" ca="1" si="340"/>
        <v>6.1519999999999921</v>
      </c>
      <c r="T754" s="304">
        <f t="shared" ca="1" si="320"/>
        <v>60.351119999999923</v>
      </c>
      <c r="U754" s="311">
        <f t="shared" ca="1" si="321"/>
        <v>0</v>
      </c>
      <c r="V754" s="306">
        <f t="shared" ca="1" si="322"/>
        <v>1.1868848128512244</v>
      </c>
      <c r="W754" s="304">
        <f t="shared" ca="1" si="323"/>
        <v>47.549138340008824</v>
      </c>
      <c r="Y754" s="314" t="str">
        <f t="shared" ca="1" si="341"/>
        <v/>
      </c>
      <c r="Z754" s="315" t="str">
        <f t="shared" ca="1" si="342"/>
        <v/>
      </c>
      <c r="AA754" s="316" t="str">
        <f t="shared" ca="1" si="343"/>
        <v/>
      </c>
      <c r="AC754" s="310">
        <f t="shared" ca="1" si="344"/>
        <v>39.000000000000242</v>
      </c>
      <c r="AD754" s="323">
        <f t="shared" ca="1" si="345"/>
        <v>552.50081840617065</v>
      </c>
      <c r="AE754" s="324" t="e">
        <f t="shared" ca="1" si="324"/>
        <v>#N/A</v>
      </c>
      <c r="AG754" s="306">
        <f t="shared" ca="1" si="346"/>
        <v>2.1006533222602108</v>
      </c>
      <c r="AH754" s="304">
        <f t="shared" ca="1" si="347"/>
        <v>-7.6942190931514034</v>
      </c>
    </row>
    <row r="755" spans="1:34" x14ac:dyDescent="0.2">
      <c r="A755" s="347">
        <f t="shared" ca="1" si="325"/>
        <v>0.1</v>
      </c>
      <c r="B755" s="304">
        <f t="shared" ca="1" si="326"/>
        <v>39.100000000000243</v>
      </c>
      <c r="D755" s="306">
        <f t="shared" ca="1" si="327"/>
        <v>-0.42585782596217686</v>
      </c>
      <c r="E755" s="307">
        <f t="shared" ca="1" si="328"/>
        <v>-2.0926872453367302</v>
      </c>
      <c r="F755" s="304">
        <f t="shared" ca="1" si="329"/>
        <v>2.1355783279309293</v>
      </c>
      <c r="G755" s="306">
        <f t="shared" ca="1" si="330"/>
        <v>7.1752257930662919</v>
      </c>
      <c r="H755" s="307">
        <f t="shared" ca="1" si="331"/>
        <v>-131.00904728387792</v>
      </c>
      <c r="I755" s="304">
        <f t="shared" ca="1" si="332"/>
        <v>131.20538988704254</v>
      </c>
      <c r="J755" s="306">
        <f t="shared" ca="1" si="333"/>
        <v>553.22047027460712</v>
      </c>
      <c r="K755" s="307">
        <f t="shared" ca="1" si="334"/>
        <v>302.97098042820272</v>
      </c>
      <c r="L755" s="304">
        <f t="shared" ca="1" si="319"/>
        <v>630.7490021494159</v>
      </c>
      <c r="M755" s="306">
        <f t="shared" ca="1" si="335"/>
        <v>-1.5160820572770493</v>
      </c>
      <c r="N755" s="304">
        <f t="shared" ca="1" si="336"/>
        <v>-86.865103277486057</v>
      </c>
      <c r="P755" s="310">
        <f t="shared" ca="1" si="337"/>
        <v>23</v>
      </c>
      <c r="Q755" s="304">
        <f t="shared" ca="1" si="338"/>
        <v>0</v>
      </c>
      <c r="R755" s="306">
        <f t="shared" ca="1" si="339"/>
        <v>0</v>
      </c>
      <c r="S755" s="307">
        <f t="shared" ca="1" si="340"/>
        <v>6.1519999999999921</v>
      </c>
      <c r="T755" s="304">
        <f t="shared" ca="1" si="320"/>
        <v>60.351119999999923</v>
      </c>
      <c r="U755" s="311">
        <f t="shared" ca="1" si="321"/>
        <v>0</v>
      </c>
      <c r="V755" s="306">
        <f t="shared" ca="1" si="322"/>
        <v>1.1884398875531741</v>
      </c>
      <c r="W755" s="304">
        <f t="shared" ca="1" si="323"/>
        <v>47.761745032969337</v>
      </c>
      <c r="Y755" s="314" t="str">
        <f t="shared" ca="1" si="341"/>
        <v/>
      </c>
      <c r="Z755" s="315" t="str">
        <f t="shared" ca="1" si="342"/>
        <v/>
      </c>
      <c r="AA755" s="316" t="str">
        <f t="shared" ca="1" si="343"/>
        <v/>
      </c>
      <c r="AC755" s="310" t="e">
        <f t="shared" ca="1" si="344"/>
        <v>#N/A</v>
      </c>
      <c r="AD755" s="323" t="e">
        <f t="shared" ca="1" si="345"/>
        <v>#N/A</v>
      </c>
      <c r="AE755" s="324" t="e">
        <f t="shared" ca="1" si="324"/>
        <v>#N/A</v>
      </c>
      <c r="AG755" s="306">
        <f t="shared" ca="1" si="346"/>
        <v>2.0660442674301427</v>
      </c>
      <c r="AH755" s="304">
        <f t="shared" ca="1" si="347"/>
        <v>-7.729053696360352</v>
      </c>
    </row>
    <row r="756" spans="1:34" x14ac:dyDescent="0.2">
      <c r="A756" s="347">
        <f t="shared" ca="1" si="325"/>
        <v>0.1</v>
      </c>
      <c r="B756" s="304">
        <f t="shared" ca="1" si="326"/>
        <v>39.200000000000244</v>
      </c>
      <c r="D756" s="306">
        <f t="shared" ca="1" si="327"/>
        <v>-0.42456848604676017</v>
      </c>
      <c r="E756" s="307">
        <f t="shared" ca="1" si="328"/>
        <v>-2.0580052241011639</v>
      </c>
      <c r="F756" s="304">
        <f t="shared" ca="1" si="329"/>
        <v>2.1013433564678858</v>
      </c>
      <c r="G756" s="306">
        <f t="shared" ca="1" si="330"/>
        <v>7.132768944461616</v>
      </c>
      <c r="H756" s="307">
        <f t="shared" ca="1" si="331"/>
        <v>-131.21484780628805</v>
      </c>
      <c r="I756" s="304">
        <f t="shared" ca="1" si="332"/>
        <v>131.40857155316166</v>
      </c>
      <c r="J756" s="306">
        <f t="shared" ca="1" si="333"/>
        <v>553.93587001148353</v>
      </c>
      <c r="K756" s="307">
        <f t="shared" ca="1" si="334"/>
        <v>289.85978567369443</v>
      </c>
      <c r="L756" s="304">
        <f t="shared" ca="1" si="319"/>
        <v>625.1908855990938</v>
      </c>
      <c r="M756" s="306">
        <f t="shared" ca="1" si="335"/>
        <v>-1.5164903101231648</v>
      </c>
      <c r="N756" s="304">
        <f t="shared" ca="1" si="336"/>
        <v>-86.88849444254268</v>
      </c>
      <c r="P756" s="310">
        <f t="shared" ca="1" si="337"/>
        <v>23</v>
      </c>
      <c r="Q756" s="304">
        <f t="shared" ca="1" si="338"/>
        <v>0</v>
      </c>
      <c r="R756" s="306">
        <f t="shared" ca="1" si="339"/>
        <v>0</v>
      </c>
      <c r="S756" s="307">
        <f t="shared" ca="1" si="340"/>
        <v>6.1519999999999921</v>
      </c>
      <c r="T756" s="304">
        <f t="shared" ca="1" si="320"/>
        <v>60.351119999999923</v>
      </c>
      <c r="U756" s="311">
        <f t="shared" ca="1" si="321"/>
        <v>0</v>
      </c>
      <c r="V756" s="306">
        <f t="shared" ca="1" si="322"/>
        <v>1.1899994390103188</v>
      </c>
      <c r="W756" s="304">
        <f t="shared" ca="1" si="323"/>
        <v>47.972655532765323</v>
      </c>
      <c r="Y756" s="314" t="str">
        <f t="shared" ca="1" si="341"/>
        <v/>
      </c>
      <c r="Z756" s="315" t="str">
        <f t="shared" ca="1" si="342"/>
        <v/>
      </c>
      <c r="AA756" s="316" t="str">
        <f t="shared" ca="1" si="343"/>
        <v/>
      </c>
      <c r="AC756" s="310" t="e">
        <f t="shared" ca="1" si="344"/>
        <v>#N/A</v>
      </c>
      <c r="AD756" s="323" t="e">
        <f t="shared" ca="1" si="345"/>
        <v>#N/A</v>
      </c>
      <c r="AE756" s="324" t="e">
        <f t="shared" ca="1" si="324"/>
        <v>#N/A</v>
      </c>
      <c r="AG756" s="306">
        <f t="shared" ca="1" si="346"/>
        <v>2.0317071516057972</v>
      </c>
      <c r="AH756" s="304">
        <f t="shared" ca="1" si="347"/>
        <v>-7.7636126516530233</v>
      </c>
    </row>
    <row r="757" spans="1:34" x14ac:dyDescent="0.2">
      <c r="A757" s="347">
        <f t="shared" ca="1" si="325"/>
        <v>0.1</v>
      </c>
      <c r="B757" s="304">
        <f t="shared" ca="1" si="326"/>
        <v>39.300000000000246</v>
      </c>
      <c r="D757" s="306">
        <f t="shared" ca="1" si="327"/>
        <v>-0.4232645481128931</v>
      </c>
      <c r="E757" s="307">
        <f t="shared" ca="1" si="328"/>
        <v>-2.023599838313185</v>
      </c>
      <c r="F757" s="304">
        <f t="shared" ca="1" si="329"/>
        <v>2.0673918794728685</v>
      </c>
      <c r="G757" s="306">
        <f t="shared" ca="1" si="330"/>
        <v>7.0904424896503269</v>
      </c>
      <c r="H757" s="307">
        <f t="shared" ca="1" si="331"/>
        <v>-131.41720779011936</v>
      </c>
      <c r="I757" s="304">
        <f t="shared" ca="1" si="332"/>
        <v>131.60834653642013</v>
      </c>
      <c r="J757" s="306">
        <f t="shared" ca="1" si="333"/>
        <v>554.64703058318912</v>
      </c>
      <c r="K757" s="307">
        <f t="shared" ca="1" si="334"/>
        <v>276.72818289387408</v>
      </c>
      <c r="L757" s="304">
        <f t="shared" ca="1" si="319"/>
        <v>619.8482199236314</v>
      </c>
      <c r="M757" s="306">
        <f t="shared" ca="1" si="335"/>
        <v>-1.5168949046912596</v>
      </c>
      <c r="N757" s="304">
        <f t="shared" ca="1" si="336"/>
        <v>-86.911676003708436</v>
      </c>
      <c r="P757" s="310">
        <f t="shared" ca="1" si="337"/>
        <v>23</v>
      </c>
      <c r="Q757" s="304">
        <f t="shared" ca="1" si="338"/>
        <v>0</v>
      </c>
      <c r="R757" s="306">
        <f t="shared" ca="1" si="339"/>
        <v>0</v>
      </c>
      <c r="S757" s="307">
        <f t="shared" ca="1" si="340"/>
        <v>6.1519999999999921</v>
      </c>
      <c r="T757" s="304">
        <f t="shared" ca="1" si="320"/>
        <v>60.351119999999923</v>
      </c>
      <c r="U757" s="311">
        <f t="shared" ca="1" si="321"/>
        <v>0</v>
      </c>
      <c r="V757" s="306">
        <f t="shared" ca="1" si="322"/>
        <v>1.1915634395266015</v>
      </c>
      <c r="W757" s="304">
        <f t="shared" ca="1" si="323"/>
        <v>48.181869746637652</v>
      </c>
      <c r="Y757" s="314" t="str">
        <f t="shared" ca="1" si="341"/>
        <v/>
      </c>
      <c r="Z757" s="315" t="str">
        <f t="shared" ca="1" si="342"/>
        <v/>
      </c>
      <c r="AA757" s="316" t="str">
        <f t="shared" ca="1" si="343"/>
        <v/>
      </c>
      <c r="AC757" s="310" t="e">
        <f t="shared" ca="1" si="344"/>
        <v>#N/A</v>
      </c>
      <c r="AD757" s="323" t="e">
        <f t="shared" ca="1" si="345"/>
        <v>#N/A</v>
      </c>
      <c r="AE757" s="324" t="e">
        <f t="shared" ca="1" si="324"/>
        <v>#N/A</v>
      </c>
      <c r="AG757" s="306">
        <f t="shared" ca="1" si="346"/>
        <v>1.9976421132834883</v>
      </c>
      <c r="AH757" s="304">
        <f t="shared" ca="1" si="347"/>
        <v>-7.7978958928422273</v>
      </c>
    </row>
    <row r="758" spans="1:34" x14ac:dyDescent="0.2">
      <c r="A758" s="347">
        <f t="shared" ca="1" si="325"/>
        <v>0.1</v>
      </c>
      <c r="B758" s="304">
        <f t="shared" ca="1" si="326"/>
        <v>39.400000000000247</v>
      </c>
      <c r="D758" s="306">
        <f t="shared" ca="1" si="327"/>
        <v>-0.42194634411897769</v>
      </c>
      <c r="E758" s="307">
        <f t="shared" ca="1" si="328"/>
        <v>-1.9894711032061929</v>
      </c>
      <c r="F758" s="304">
        <f t="shared" ca="1" si="329"/>
        <v>2.0337241670904724</v>
      </c>
      <c r="G758" s="306">
        <f t="shared" ca="1" si="330"/>
        <v>7.0482478552384293</v>
      </c>
      <c r="H758" s="307">
        <f t="shared" ca="1" si="331"/>
        <v>-131.61615490043999</v>
      </c>
      <c r="I758" s="304">
        <f t="shared" ca="1" si="332"/>
        <v>131.80474205659479</v>
      </c>
      <c r="J758" s="306">
        <f t="shared" ca="1" si="333"/>
        <v>555.35396510043358</v>
      </c>
      <c r="K758" s="307">
        <f t="shared" ca="1" si="334"/>
        <v>263.57651475934608</v>
      </c>
      <c r="L758" s="304">
        <f t="shared" ca="1" si="319"/>
        <v>614.72807458701391</v>
      </c>
      <c r="M758" s="306">
        <f t="shared" ca="1" si="335"/>
        <v>-1.5172958894719977</v>
      </c>
      <c r="N758" s="304">
        <f t="shared" ca="1" si="336"/>
        <v>-86.934650739293701</v>
      </c>
      <c r="P758" s="310">
        <f t="shared" ca="1" si="337"/>
        <v>23</v>
      </c>
      <c r="Q758" s="304">
        <f t="shared" ca="1" si="338"/>
        <v>0</v>
      </c>
      <c r="R758" s="306">
        <f t="shared" ca="1" si="339"/>
        <v>0</v>
      </c>
      <c r="S758" s="307">
        <f t="shared" ca="1" si="340"/>
        <v>6.1519999999999921</v>
      </c>
      <c r="T758" s="304">
        <f t="shared" ca="1" si="320"/>
        <v>60.351119999999923</v>
      </c>
      <c r="U758" s="311">
        <f t="shared" ca="1" si="321"/>
        <v>0</v>
      </c>
      <c r="V758" s="306">
        <f t="shared" ca="1" si="322"/>
        <v>1.1931318615847484</v>
      </c>
      <c r="W758" s="304">
        <f t="shared" ca="1" si="323"/>
        <v>48.389387890407022</v>
      </c>
      <c r="Y758" s="314" t="str">
        <f t="shared" ca="1" si="341"/>
        <v/>
      </c>
      <c r="Z758" s="315" t="str">
        <f t="shared" ca="1" si="342"/>
        <v/>
      </c>
      <c r="AA758" s="316" t="str">
        <f t="shared" ca="1" si="343"/>
        <v/>
      </c>
      <c r="AC758" s="310" t="e">
        <f t="shared" ca="1" si="344"/>
        <v>#N/A</v>
      </c>
      <c r="AD758" s="323" t="e">
        <f t="shared" ca="1" si="345"/>
        <v>#N/A</v>
      </c>
      <c r="AE758" s="324" t="e">
        <f t="shared" ca="1" si="324"/>
        <v>#N/A</v>
      </c>
      <c r="AG758" s="306">
        <f t="shared" ca="1" si="346"/>
        <v>1.9638492381200825</v>
      </c>
      <c r="AH758" s="304">
        <f t="shared" ca="1" si="347"/>
        <v>-7.8319034048500837</v>
      </c>
    </row>
    <row r="759" spans="1:34" x14ac:dyDescent="0.2">
      <c r="A759" s="347">
        <f t="shared" ca="1" si="325"/>
        <v>0.1</v>
      </c>
      <c r="B759" s="304">
        <f t="shared" ca="1" si="326"/>
        <v>39.500000000000249</v>
      </c>
      <c r="D759" s="306">
        <f t="shared" ca="1" si="327"/>
        <v>-0.42061420343349404</v>
      </c>
      <c r="E759" s="307">
        <f t="shared" ca="1" si="328"/>
        <v>-1.9556189836906341</v>
      </c>
      <c r="F759" s="304">
        <f t="shared" ca="1" si="329"/>
        <v>2.000340450398677</v>
      </c>
      <c r="G759" s="306">
        <f t="shared" ca="1" si="330"/>
        <v>7.0061864348950795</v>
      </c>
      <c r="H759" s="307">
        <f t="shared" ca="1" si="331"/>
        <v>-131.81171679880904</v>
      </c>
      <c r="I759" s="304">
        <f t="shared" ca="1" si="332"/>
        <v>131.99778533676218</v>
      </c>
      <c r="J759" s="306">
        <f t="shared" ca="1" si="333"/>
        <v>556.05668681494024</v>
      </c>
      <c r="K759" s="307">
        <f t="shared" ca="1" si="334"/>
        <v>250.40512117438362</v>
      </c>
      <c r="L759" s="304">
        <f t="shared" ca="1" si="319"/>
        <v>609.83748955108217</v>
      </c>
      <c r="M759" s="306">
        <f t="shared" ca="1" si="335"/>
        <v>-1.5176933120227893</v>
      </c>
      <c r="N759" s="304">
        <f t="shared" ca="1" si="336"/>
        <v>-86.957421374137397</v>
      </c>
      <c r="P759" s="310">
        <f t="shared" ca="1" si="337"/>
        <v>23</v>
      </c>
      <c r="Q759" s="304">
        <f t="shared" ca="1" si="338"/>
        <v>0</v>
      </c>
      <c r="R759" s="306">
        <f t="shared" ca="1" si="339"/>
        <v>0</v>
      </c>
      <c r="S759" s="307">
        <f t="shared" ca="1" si="340"/>
        <v>6.1519999999999921</v>
      </c>
      <c r="T759" s="304">
        <f t="shared" ca="1" si="320"/>
        <v>60.351119999999923</v>
      </c>
      <c r="U759" s="311">
        <f t="shared" ca="1" si="321"/>
        <v>0</v>
      </c>
      <c r="V759" s="306">
        <f t="shared" ca="1" si="322"/>
        <v>1.1947046778468766</v>
      </c>
      <c r="W759" s="304">
        <f t="shared" ca="1" si="323"/>
        <v>48.595210482643402</v>
      </c>
      <c r="Y759" s="314" t="str">
        <f t="shared" ca="1" si="341"/>
        <v/>
      </c>
      <c r="Z759" s="315" t="str">
        <f t="shared" ca="1" si="342"/>
        <v/>
      </c>
      <c r="AA759" s="316" t="str">
        <f t="shared" ca="1" si="343"/>
        <v/>
      </c>
      <c r="AC759" s="310" t="e">
        <f t="shared" ca="1" si="344"/>
        <v>#N/A</v>
      </c>
      <c r="AD759" s="323" t="e">
        <f t="shared" ca="1" si="345"/>
        <v>#N/A</v>
      </c>
      <c r="AE759" s="324" t="e">
        <f t="shared" ca="1" si="324"/>
        <v>#N/A</v>
      </c>
      <c r="AG759" s="306">
        <f t="shared" ca="1" si="346"/>
        <v>1.9303285599329048</v>
      </c>
      <c r="AH759" s="304">
        <f t="shared" ca="1" si="347"/>
        <v>-7.8656352227579784</v>
      </c>
    </row>
    <row r="760" spans="1:34" x14ac:dyDescent="0.2">
      <c r="A760" s="347">
        <f t="shared" ca="1" si="325"/>
        <v>0.1</v>
      </c>
      <c r="B760" s="304">
        <f t="shared" ca="1" si="326"/>
        <v>39.60000000000025</v>
      </c>
      <c r="D760" s="306">
        <f t="shared" ca="1" si="327"/>
        <v>-0.41926845279778985</v>
      </c>
      <c r="E760" s="307">
        <f t="shared" ca="1" si="328"/>
        <v>-1.9220433953047253</v>
      </c>
      <c r="F760" s="304">
        <f t="shared" ca="1" si="329"/>
        <v>1.9672409229542702</v>
      </c>
      <c r="G760" s="306">
        <f t="shared" ca="1" si="330"/>
        <v>6.9642595896153008</v>
      </c>
      <c r="H760" s="307">
        <f t="shared" ca="1" si="331"/>
        <v>-132.00392113833951</v>
      </c>
      <c r="I760" s="304">
        <f t="shared" ca="1" si="332"/>
        <v>132.18750359821652</v>
      </c>
      <c r="J760" s="306">
        <f t="shared" ca="1" si="333"/>
        <v>556.7552091161657</v>
      </c>
      <c r="K760" s="307">
        <f t="shared" ca="1" si="334"/>
        <v>237.21433927752619</v>
      </c>
      <c r="L760" s="304">
        <f t="shared" ca="1" si="319"/>
        <v>605.1834479204291</v>
      </c>
      <c r="M760" s="306">
        <f t="shared" ca="1" si="335"/>
        <v>-1.5180872189903294</v>
      </c>
      <c r="N760" s="304">
        <f t="shared" ca="1" si="336"/>
        <v>-86.979990580898232</v>
      </c>
      <c r="P760" s="310">
        <f t="shared" ca="1" si="337"/>
        <v>23</v>
      </c>
      <c r="Q760" s="304">
        <f t="shared" ca="1" si="338"/>
        <v>0</v>
      </c>
      <c r="R760" s="306">
        <f t="shared" ca="1" si="339"/>
        <v>0</v>
      </c>
      <c r="S760" s="307">
        <f t="shared" ca="1" si="340"/>
        <v>6.1519999999999921</v>
      </c>
      <c r="T760" s="304">
        <f t="shared" ca="1" si="320"/>
        <v>60.351119999999923</v>
      </c>
      <c r="U760" s="311">
        <f t="shared" ca="1" si="321"/>
        <v>0</v>
      </c>
      <c r="V760" s="306">
        <f t="shared" ca="1" si="322"/>
        <v>1.1962818611550723</v>
      </c>
      <c r="W760" s="304">
        <f t="shared" ca="1" si="323"/>
        <v>48.799338338852372</v>
      </c>
      <c r="Y760" s="314" t="str">
        <f t="shared" ca="1" si="341"/>
        <v/>
      </c>
      <c r="Z760" s="315" t="str">
        <f t="shared" ca="1" si="342"/>
        <v/>
      </c>
      <c r="AA760" s="316" t="str">
        <f t="shared" ca="1" si="343"/>
        <v/>
      </c>
      <c r="AC760" s="310" t="e">
        <f t="shared" ca="1" si="344"/>
        <v>#N/A</v>
      </c>
      <c r="AD760" s="323" t="e">
        <f t="shared" ca="1" si="345"/>
        <v>#N/A</v>
      </c>
      <c r="AE760" s="324" t="e">
        <f t="shared" ca="1" si="324"/>
        <v>#N/A</v>
      </c>
      <c r="AG760" s="306">
        <f t="shared" ca="1" si="346"/>
        <v>1.8970800616956698</v>
      </c>
      <c r="AH760" s="304">
        <f t="shared" ca="1" si="347"/>
        <v>-7.8990914308588209</v>
      </c>
    </row>
    <row r="761" spans="1:34" x14ac:dyDescent="0.2">
      <c r="A761" s="347">
        <f t="shared" ca="1" si="325"/>
        <v>0.1</v>
      </c>
      <c r="B761" s="304">
        <f t="shared" ca="1" si="326"/>
        <v>39.700000000000252</v>
      </c>
      <c r="D761" s="306">
        <f t="shared" ca="1" si="327"/>
        <v>-0.41790941629059392</v>
      </c>
      <c r="E761" s="307">
        <f t="shared" ca="1" si="328"/>
        <v>-1.8887442051624568</v>
      </c>
      <c r="F761" s="304">
        <f t="shared" ca="1" si="329"/>
        <v>1.9344257423739752</v>
      </c>
      <c r="G761" s="306">
        <f t="shared" ca="1" si="330"/>
        <v>6.922468647986241</v>
      </c>
      <c r="H761" s="307">
        <f t="shared" ca="1" si="331"/>
        <v>-132.19279555885575</v>
      </c>
      <c r="I761" s="304">
        <f t="shared" ca="1" si="332"/>
        <v>132.37392405548678</v>
      </c>
      <c r="J761" s="306">
        <f t="shared" ca="1" si="333"/>
        <v>557.44954552804575</v>
      </c>
      <c r="K761" s="307">
        <f t="shared" ca="1" si="334"/>
        <v>224.00450344266642</v>
      </c>
      <c r="L761" s="304">
        <f t="shared" ca="1" si="319"/>
        <v>600.77284673328927</v>
      </c>
      <c r="M761" s="306">
        <f t="shared" ca="1" si="335"/>
        <v>-1.5184776561324942</v>
      </c>
      <c r="N761" s="304">
        <f t="shared" ca="1" si="336"/>
        <v>-87.002360981309423</v>
      </c>
      <c r="P761" s="310">
        <f t="shared" ca="1" si="337"/>
        <v>23</v>
      </c>
      <c r="Q761" s="304">
        <f t="shared" ca="1" si="338"/>
        <v>0</v>
      </c>
      <c r="R761" s="306">
        <f t="shared" ca="1" si="339"/>
        <v>0</v>
      </c>
      <c r="S761" s="307">
        <f t="shared" ca="1" si="340"/>
        <v>6.1519999999999921</v>
      </c>
      <c r="T761" s="304">
        <f t="shared" ca="1" si="320"/>
        <v>60.351119999999923</v>
      </c>
      <c r="U761" s="311">
        <f t="shared" ca="1" si="321"/>
        <v>0</v>
      </c>
      <c r="V761" s="306">
        <f t="shared" ca="1" si="322"/>
        <v>1.1978633845319255</v>
      </c>
      <c r="W761" s="304">
        <f t="shared" ca="1" si="323"/>
        <v>49.001772565680135</v>
      </c>
      <c r="Y761" s="314" t="str">
        <f t="shared" ca="1" si="341"/>
        <v/>
      </c>
      <c r="Z761" s="315" t="str">
        <f t="shared" ca="1" si="342"/>
        <v/>
      </c>
      <c r="AA761" s="316" t="str">
        <f t="shared" ca="1" si="343"/>
        <v/>
      </c>
      <c r="AC761" s="310" t="e">
        <f t="shared" ca="1" si="344"/>
        <v>#N/A</v>
      </c>
      <c r="AD761" s="323" t="e">
        <f t="shared" ca="1" si="345"/>
        <v>#N/A</v>
      </c>
      <c r="AE761" s="324" t="e">
        <f t="shared" ca="1" si="324"/>
        <v>#N/A</v>
      </c>
      <c r="AG761" s="306">
        <f t="shared" ca="1" si="346"/>
        <v>1.8641036765300791</v>
      </c>
      <c r="AH761" s="304">
        <f t="shared" ca="1" si="347"/>
        <v>-7.9322721617120342</v>
      </c>
    </row>
    <row r="762" spans="1:34" x14ac:dyDescent="0.2">
      <c r="A762" s="347">
        <f t="shared" ca="1" si="325"/>
        <v>0.1</v>
      </c>
      <c r="B762" s="304">
        <f t="shared" ca="1" si="326"/>
        <v>39.800000000000253</v>
      </c>
      <c r="D762" s="306">
        <f t="shared" ca="1" si="327"/>
        <v>-0.41653741529421656</v>
      </c>
      <c r="E762" s="307">
        <f t="shared" ca="1" si="328"/>
        <v>-1.8557212328985209</v>
      </c>
      <c r="F762" s="304">
        <f t="shared" ca="1" si="329"/>
        <v>1.9018950319537598</v>
      </c>
      <c r="G762" s="306">
        <f t="shared" ca="1" si="330"/>
        <v>6.8808149064568189</v>
      </c>
      <c r="H762" s="307">
        <f t="shared" ca="1" si="331"/>
        <v>-132.37836768214561</v>
      </c>
      <c r="I762" s="304">
        <f t="shared" ca="1" si="332"/>
        <v>132.55707391145239</v>
      </c>
      <c r="J762" s="306">
        <f t="shared" ca="1" si="333"/>
        <v>558.13970970576793</v>
      </c>
      <c r="K762" s="307">
        <f t="shared" ca="1" si="334"/>
        <v>210.77594528061636</v>
      </c>
      <c r="L762" s="304">
        <f t="shared" ca="1" si="319"/>
        <v>596.6124660609903</v>
      </c>
      <c r="M762" s="306">
        <f t="shared" ca="1" si="335"/>
        <v>-1.5188646683396203</v>
      </c>
      <c r="N762" s="304">
        <f t="shared" ca="1" si="336"/>
        <v>-87.024535147397799</v>
      </c>
      <c r="P762" s="310">
        <f t="shared" ca="1" si="337"/>
        <v>23</v>
      </c>
      <c r="Q762" s="304">
        <f t="shared" ca="1" si="338"/>
        <v>0</v>
      </c>
      <c r="R762" s="306">
        <f t="shared" ca="1" si="339"/>
        <v>0</v>
      </c>
      <c r="S762" s="307">
        <f t="shared" ca="1" si="340"/>
        <v>6.1519999999999921</v>
      </c>
      <c r="T762" s="304">
        <f t="shared" ca="1" si="320"/>
        <v>60.351119999999923</v>
      </c>
      <c r="U762" s="311">
        <f t="shared" ca="1" si="321"/>
        <v>0</v>
      </c>
      <c r="V762" s="306">
        <f t="shared" ca="1" si="322"/>
        <v>1.1994492211810357</v>
      </c>
      <c r="W762" s="304">
        <f t="shared" ca="1" si="323"/>
        <v>49.202514555139786</v>
      </c>
      <c r="Y762" s="314" t="str">
        <f t="shared" ca="1" si="341"/>
        <v/>
      </c>
      <c r="Z762" s="315" t="str">
        <f t="shared" ca="1" si="342"/>
        <v/>
      </c>
      <c r="AA762" s="316" t="str">
        <f t="shared" ca="1" si="343"/>
        <v/>
      </c>
      <c r="AC762" s="310" t="e">
        <f t="shared" ca="1" si="344"/>
        <v>#N/A</v>
      </c>
      <c r="AD762" s="323" t="e">
        <f t="shared" ca="1" si="345"/>
        <v>#N/A</v>
      </c>
      <c r="AE762" s="324" t="e">
        <f t="shared" ca="1" si="324"/>
        <v>#N/A</v>
      </c>
      <c r="AG762" s="306">
        <f t="shared" ca="1" si="346"/>
        <v>1.8313992886928085</v>
      </c>
      <c r="AH762" s="304">
        <f t="shared" ca="1" si="347"/>
        <v>-7.9651775952015926</v>
      </c>
    </row>
    <row r="763" spans="1:34" x14ac:dyDescent="0.2">
      <c r="A763" s="347">
        <f t="shared" ca="1" si="325"/>
        <v>0.1</v>
      </c>
      <c r="B763" s="304">
        <f t="shared" ca="1" si="326"/>
        <v>39.900000000000254</v>
      </c>
      <c r="D763" s="306">
        <f t="shared" ca="1" si="327"/>
        <v>-0.41515276846241023</v>
      </c>
      <c r="E763" s="307">
        <f t="shared" ca="1" si="328"/>
        <v>-1.8229742516098053</v>
      </c>
      <c r="F763" s="304">
        <f t="shared" ca="1" si="329"/>
        <v>1.8696488823290682</v>
      </c>
      <c r="G763" s="306">
        <f t="shared" ca="1" si="330"/>
        <v>6.8392996296105775</v>
      </c>
      <c r="H763" s="307">
        <f t="shared" ca="1" si="331"/>
        <v>-132.56066510730659</v>
      </c>
      <c r="I763" s="304">
        <f t="shared" ca="1" si="332"/>
        <v>132.73698035255691</v>
      </c>
      <c r="J763" s="306">
        <f t="shared" ca="1" si="333"/>
        <v>558.82571543257131</v>
      </c>
      <c r="K763" s="307">
        <f t="shared" ca="1" si="334"/>
        <v>197.52899364114376</v>
      </c>
      <c r="L763" s="304">
        <f t="shared" ca="1" si="319"/>
        <v>592.70893662708363</v>
      </c>
      <c r="M763" s="306">
        <f t="shared" ca="1" si="335"/>
        <v>-1.5192482996551826</v>
      </c>
      <c r="N763" s="304">
        <f t="shared" ca="1" si="336"/>
        <v>-87.046515602668563</v>
      </c>
      <c r="P763" s="310">
        <f t="shared" ca="1" si="337"/>
        <v>23</v>
      </c>
      <c r="Q763" s="304">
        <f t="shared" ca="1" si="338"/>
        <v>0</v>
      </c>
      <c r="R763" s="306">
        <f t="shared" ca="1" si="339"/>
        <v>0</v>
      </c>
      <c r="S763" s="307">
        <f t="shared" ca="1" si="340"/>
        <v>6.1519999999999921</v>
      </c>
      <c r="T763" s="304">
        <f t="shared" ca="1" si="320"/>
        <v>60.351119999999923</v>
      </c>
      <c r="U763" s="311">
        <f t="shared" ca="1" si="321"/>
        <v>0</v>
      </c>
      <c r="V763" s="306">
        <f t="shared" ca="1" si="322"/>
        <v>1.2010393444874785</v>
      </c>
      <c r="W763" s="304">
        <f t="shared" ca="1" si="323"/>
        <v>49.401565978860582</v>
      </c>
      <c r="Y763" s="314" t="str">
        <f t="shared" ca="1" si="341"/>
        <v/>
      </c>
      <c r="Z763" s="315" t="str">
        <f t="shared" ca="1" si="342"/>
        <v/>
      </c>
      <c r="AA763" s="316" t="str">
        <f t="shared" ca="1" si="343"/>
        <v/>
      </c>
      <c r="AC763" s="310" t="e">
        <f t="shared" ca="1" si="344"/>
        <v>#N/A</v>
      </c>
      <c r="AD763" s="323" t="e">
        <f t="shared" ca="1" si="345"/>
        <v>#N/A</v>
      </c>
      <c r="AE763" s="324" t="e">
        <f t="shared" ca="1" si="324"/>
        <v>#N/A</v>
      </c>
      <c r="AG763" s="306">
        <f t="shared" ca="1" si="346"/>
        <v>1.7989667345575855</v>
      </c>
      <c r="AH763" s="304">
        <f t="shared" ca="1" si="347"/>
        <v>-7.9978079575975043</v>
      </c>
    </row>
    <row r="764" spans="1:34" x14ac:dyDescent="0.2">
      <c r="A764" s="347">
        <f t="shared" ca="1" si="325"/>
        <v>0.1</v>
      </c>
      <c r="B764" s="304">
        <f t="shared" ca="1" si="326"/>
        <v>40.000000000000256</v>
      </c>
      <c r="D764" s="306">
        <f t="shared" ca="1" si="327"/>
        <v>-0.41375579168987664</v>
      </c>
      <c r="E764" s="307">
        <f t="shared" ca="1" si="328"/>
        <v>-1.7905029887931256</v>
      </c>
      <c r="F764" s="304">
        <f t="shared" ca="1" si="329"/>
        <v>1.8376873531789981</v>
      </c>
      <c r="G764" s="306">
        <f t="shared" ca="1" si="330"/>
        <v>6.7979240504415896</v>
      </c>
      <c r="H764" s="307">
        <f t="shared" ca="1" si="331"/>
        <v>-132.73971540618589</v>
      </c>
      <c r="I764" s="304">
        <f t="shared" ca="1" si="332"/>
        <v>132.9136705441197</v>
      </c>
      <c r="J764" s="306">
        <f t="shared" ca="1" si="333"/>
        <v>559.50757661657394</v>
      </c>
      <c r="K764" s="307">
        <f t="shared" ca="1" si="334"/>
        <v>184.26397461546912</v>
      </c>
      <c r="L764" s="304">
        <f t="shared" ca="1" si="319"/>
        <v>589.06870620704478</v>
      </c>
      <c r="M764" s="306">
        <f t="shared" ca="1" si="335"/>
        <v>-1.5196285932958931</v>
      </c>
      <c r="N764" s="304">
        <f t="shared" ca="1" si="336"/>
        <v>-87.068304823256938</v>
      </c>
      <c r="P764" s="310">
        <f t="shared" ca="1" si="337"/>
        <v>23</v>
      </c>
      <c r="Q764" s="304">
        <f t="shared" ca="1" si="338"/>
        <v>0</v>
      </c>
      <c r="R764" s="306">
        <f t="shared" ca="1" si="339"/>
        <v>0</v>
      </c>
      <c r="S764" s="307">
        <f t="shared" ca="1" si="340"/>
        <v>6.1519999999999921</v>
      </c>
      <c r="T764" s="304">
        <f t="shared" ca="1" si="320"/>
        <v>60.351119999999923</v>
      </c>
      <c r="U764" s="311">
        <f t="shared" ca="1" si="321"/>
        <v>0</v>
      </c>
      <c r="V764" s="306">
        <f t="shared" ca="1" si="322"/>
        <v>1.2026337280182398</v>
      </c>
      <c r="W764" s="304">
        <f t="shared" ca="1" si="323"/>
        <v>49.598928782362847</v>
      </c>
      <c r="Y764" s="314" t="str">
        <f t="shared" ca="1" si="341"/>
        <v/>
      </c>
      <c r="Z764" s="315" t="str">
        <f t="shared" ca="1" si="342"/>
        <v/>
      </c>
      <c r="AA764" s="316" t="str">
        <f t="shared" ca="1" si="343"/>
        <v/>
      </c>
      <c r="AC764" s="310">
        <f t="shared" ca="1" si="344"/>
        <v>40.000000000000256</v>
      </c>
      <c r="AD764" s="323">
        <f t="shared" ca="1" si="345"/>
        <v>559.50757661657394</v>
      </c>
      <c r="AE764" s="324" t="e">
        <f t="shared" ca="1" si="324"/>
        <v>#N/A</v>
      </c>
      <c r="AG764" s="306">
        <f t="shared" ca="1" si="346"/>
        <v>1.766805803592062</v>
      </c>
      <c r="AH764" s="304">
        <f t="shared" ca="1" si="347"/>
        <v>-8.0301635206210413</v>
      </c>
    </row>
    <row r="765" spans="1:34" x14ac:dyDescent="0.2">
      <c r="A765" s="347">
        <f t="shared" ca="1" si="325"/>
        <v>0.1</v>
      </c>
      <c r="B765" s="304">
        <f t="shared" ca="1" si="326"/>
        <v>40.100000000000257</v>
      </c>
      <c r="D765" s="306">
        <f t="shared" ca="1" si="327"/>
        <v>-0.41234679808338598</v>
      </c>
      <c r="E765" s="307">
        <f t="shared" ca="1" si="328"/>
        <v>-1.7583071272787869</v>
      </c>
      <c r="F765" s="304">
        <f t="shared" ca="1" si="329"/>
        <v>1.8060104749776511</v>
      </c>
      <c r="G765" s="306">
        <f t="shared" ca="1" si="330"/>
        <v>6.7566893706332509</v>
      </c>
      <c r="H765" s="307">
        <f t="shared" ca="1" si="331"/>
        <v>-132.91554611891377</v>
      </c>
      <c r="I765" s="304">
        <f t="shared" ca="1" si="332"/>
        <v>133.0871716257443</v>
      </c>
      <c r="J765" s="306">
        <f t="shared" ca="1" si="333"/>
        <v>560.18530728762767</v>
      </c>
      <c r="K765" s="307">
        <f t="shared" ca="1" si="334"/>
        <v>170.98121153921414</v>
      </c>
      <c r="L765" s="304">
        <f t="shared" ca="1" si="319"/>
        <v>585.69800511897881</v>
      </c>
      <c r="M765" s="306">
        <f t="shared" ca="1" si="335"/>
        <v>-1.5200055916712387</v>
      </c>
      <c r="N765" s="304">
        <f t="shared" ca="1" si="336"/>
        <v>-87.089905239047539</v>
      </c>
      <c r="P765" s="310">
        <f t="shared" ca="1" si="337"/>
        <v>23</v>
      </c>
      <c r="Q765" s="304">
        <f t="shared" ca="1" si="338"/>
        <v>0</v>
      </c>
      <c r="R765" s="306">
        <f t="shared" ca="1" si="339"/>
        <v>0</v>
      </c>
      <c r="S765" s="307">
        <f t="shared" ca="1" si="340"/>
        <v>6.1519999999999921</v>
      </c>
      <c r="T765" s="304">
        <f t="shared" ca="1" si="320"/>
        <v>60.351119999999923</v>
      </c>
      <c r="U765" s="311">
        <f t="shared" ca="1" si="321"/>
        <v>0</v>
      </c>
      <c r="V765" s="306">
        <f t="shared" ca="1" si="322"/>
        <v>1.2042323455226152</v>
      </c>
      <c r="W765" s="304">
        <f t="shared" ca="1" si="323"/>
        <v>49.794605179359841</v>
      </c>
      <c r="Y765" s="314" t="str">
        <f t="shared" ca="1" si="341"/>
        <v/>
      </c>
      <c r="Z765" s="315" t="str">
        <f t="shared" ca="1" si="342"/>
        <v/>
      </c>
      <c r="AA765" s="316" t="str">
        <f t="shared" ca="1" si="343"/>
        <v/>
      </c>
      <c r="AC765" s="310" t="e">
        <f t="shared" ca="1" si="344"/>
        <v>#N/A</v>
      </c>
      <c r="AD765" s="323" t="e">
        <f t="shared" ca="1" si="345"/>
        <v>#N/A</v>
      </c>
      <c r="AE765" s="324" t="e">
        <f t="shared" ca="1" si="324"/>
        <v>#N/A</v>
      </c>
      <c r="AG765" s="306">
        <f t="shared" ca="1" si="346"/>
        <v>1.7349162393291735</v>
      </c>
      <c r="AH765" s="304">
        <f t="shared" ca="1" si="347"/>
        <v>-8.0622446005141271</v>
      </c>
    </row>
    <row r="766" spans="1:34" x14ac:dyDescent="0.2">
      <c r="A766" s="347">
        <f t="shared" ca="1" si="325"/>
        <v>0.1</v>
      </c>
      <c r="B766" s="304">
        <f t="shared" ca="1" si="326"/>
        <v>40.200000000000259</v>
      </c>
      <c r="D766" s="306">
        <f t="shared" ca="1" si="327"/>
        <v>-0.41092609793448093</v>
      </c>
      <c r="E766" s="307">
        <f t="shared" ca="1" si="328"/>
        <v>-1.726386306159748</v>
      </c>
      <c r="F766" s="304">
        <f t="shared" ca="1" si="329"/>
        <v>1.774618250796367</v>
      </c>
      <c r="G766" s="306">
        <f t="shared" ca="1" si="330"/>
        <v>6.7155967608398024</v>
      </c>
      <c r="H766" s="307">
        <f t="shared" ca="1" si="331"/>
        <v>-133.08818474952974</v>
      </c>
      <c r="I766" s="304">
        <f t="shared" ca="1" si="332"/>
        <v>133.25751070682344</v>
      </c>
      <c r="J766" s="306">
        <f t="shared" ca="1" si="333"/>
        <v>560.85892159420132</v>
      </c>
      <c r="K766" s="307">
        <f t="shared" ca="1" si="334"/>
        <v>157.68102499579197</v>
      </c>
      <c r="L766" s="304">
        <f t="shared" ca="1" si="319"/>
        <v>582.60281116343242</v>
      </c>
      <c r="M766" s="306">
        <f t="shared" ca="1" si="335"/>
        <v>-1.520379336402476</v>
      </c>
      <c r="N766" s="304">
        <f t="shared" ca="1" si="336"/>
        <v>-87.111319234762689</v>
      </c>
      <c r="P766" s="310">
        <f t="shared" ca="1" si="337"/>
        <v>23</v>
      </c>
      <c r="Q766" s="304">
        <f t="shared" ca="1" si="338"/>
        <v>0</v>
      </c>
      <c r="R766" s="306">
        <f t="shared" ca="1" si="339"/>
        <v>0</v>
      </c>
      <c r="S766" s="307">
        <f t="shared" ca="1" si="340"/>
        <v>6.1519999999999921</v>
      </c>
      <c r="T766" s="304">
        <f t="shared" ca="1" si="320"/>
        <v>60.351119999999923</v>
      </c>
      <c r="U766" s="311">
        <f t="shared" ca="1" si="321"/>
        <v>0</v>
      </c>
      <c r="V766" s="306">
        <f t="shared" ca="1" si="322"/>
        <v>1.2058351709325765</v>
      </c>
      <c r="W766" s="304">
        <f t="shared" ca="1" si="323"/>
        <v>49.988597646088969</v>
      </c>
      <c r="Y766" s="314" t="str">
        <f t="shared" ca="1" si="341"/>
        <v/>
      </c>
      <c r="Z766" s="315" t="str">
        <f t="shared" ca="1" si="342"/>
        <v/>
      </c>
      <c r="AA766" s="316" t="str">
        <f t="shared" ca="1" si="343"/>
        <v/>
      </c>
      <c r="AC766" s="310" t="e">
        <f t="shared" ca="1" si="344"/>
        <v>#N/A</v>
      </c>
      <c r="AD766" s="323" t="e">
        <f t="shared" ca="1" si="345"/>
        <v>#N/A</v>
      </c>
      <c r="AE766" s="324" t="e">
        <f t="shared" ca="1" si="324"/>
        <v>#N/A</v>
      </c>
      <c r="AG766" s="306">
        <f t="shared" ca="1" si="346"/>
        <v>1.7032977403327525</v>
      </c>
      <c r="AH766" s="304">
        <f t="shared" ca="1" si="347"/>
        <v>-8.0940515571131186</v>
      </c>
    </row>
    <row r="767" spans="1:34" x14ac:dyDescent="0.2">
      <c r="A767" s="347">
        <f t="shared" ca="1" si="325"/>
        <v>0.1</v>
      </c>
      <c r="B767" s="304">
        <f t="shared" ca="1" si="326"/>
        <v>40.30000000000026</v>
      </c>
      <c r="D767" s="306">
        <f t="shared" ca="1" si="327"/>
        <v>-0.40949399869374775</v>
      </c>
      <c r="E767" s="307">
        <f t="shared" ca="1" si="328"/>
        <v>-1.6947401217160056</v>
      </c>
      <c r="F767" s="304">
        <f t="shared" ca="1" si="329"/>
        <v>1.7435106581607629</v>
      </c>
      <c r="G767" s="306">
        <f t="shared" ca="1" si="330"/>
        <v>6.674647360970428</v>
      </c>
      <c r="H767" s="307">
        <f t="shared" ca="1" si="331"/>
        <v>-133.25765876170135</v>
      </c>
      <c r="I767" s="304">
        <f t="shared" ca="1" si="332"/>
        <v>133.42471486213995</v>
      </c>
      <c r="J767" s="306">
        <f t="shared" ca="1" si="333"/>
        <v>561.52843380029185</v>
      </c>
      <c r="K767" s="307">
        <f t="shared" ca="1" si="334"/>
        <v>144.36373282023041</v>
      </c>
      <c r="L767" s="304">
        <f t="shared" ca="1" si="319"/>
        <v>579.78881441435169</v>
      </c>
      <c r="M767" s="306">
        <f t="shared" ca="1" si="335"/>
        <v>-1.5207498683411007</v>
      </c>
      <c r="N767" s="304">
        <f t="shared" ca="1" si="336"/>
        <v>-87.132549151020683</v>
      </c>
      <c r="P767" s="310">
        <f t="shared" ca="1" si="337"/>
        <v>23</v>
      </c>
      <c r="Q767" s="304">
        <f t="shared" ca="1" si="338"/>
        <v>0</v>
      </c>
      <c r="R767" s="306">
        <f t="shared" ca="1" si="339"/>
        <v>0</v>
      </c>
      <c r="S767" s="307">
        <f t="shared" ca="1" si="340"/>
        <v>6.1519999999999921</v>
      </c>
      <c r="T767" s="304">
        <f t="shared" ca="1" si="320"/>
        <v>60.351119999999923</v>
      </c>
      <c r="U767" s="311">
        <f t="shared" ca="1" si="321"/>
        <v>0</v>
      </c>
      <c r="V767" s="306">
        <f t="shared" ca="1" si="322"/>
        <v>1.2074421783631064</v>
      </c>
      <c r="W767" s="304">
        <f t="shared" ca="1" si="323"/>
        <v>50.180908915674195</v>
      </c>
      <c r="Y767" s="314" t="str">
        <f t="shared" ca="1" si="341"/>
        <v/>
      </c>
      <c r="Z767" s="315" t="str">
        <f t="shared" ca="1" si="342"/>
        <v/>
      </c>
      <c r="AA767" s="316" t="str">
        <f t="shared" ca="1" si="343"/>
        <v/>
      </c>
      <c r="AC767" s="310" t="e">
        <f t="shared" ca="1" si="344"/>
        <v>#N/A</v>
      </c>
      <c r="AD767" s="323" t="e">
        <f t="shared" ca="1" si="345"/>
        <v>#N/A</v>
      </c>
      <c r="AE767" s="324" t="e">
        <f t="shared" ca="1" si="324"/>
        <v>#N/A</v>
      </c>
      <c r="AG767" s="306">
        <f t="shared" ca="1" si="346"/>
        <v>1.6719499611571287</v>
      </c>
      <c r="AH767" s="304">
        <f t="shared" ca="1" si="347"/>
        <v>-8.1255847929273468</v>
      </c>
    </row>
    <row r="768" spans="1:34" x14ac:dyDescent="0.2">
      <c r="A768" s="347">
        <f t="shared" ca="1" si="325"/>
        <v>0.1</v>
      </c>
      <c r="B768" s="304">
        <f t="shared" ca="1" si="326"/>
        <v>40.400000000000261</v>
      </c>
      <c r="D768" s="306">
        <f t="shared" ca="1" si="327"/>
        <v>-0.40805080494661611</v>
      </c>
      <c r="E768" s="307">
        <f t="shared" ca="1" si="328"/>
        <v>-1.6633681283338966</v>
      </c>
      <c r="F768" s="304">
        <f t="shared" ca="1" si="329"/>
        <v>1.7126876509669215</v>
      </c>
      <c r="G768" s="306">
        <f t="shared" ca="1" si="330"/>
        <v>6.6338422804757666</v>
      </c>
      <c r="H768" s="307">
        <f t="shared" ca="1" si="331"/>
        <v>-133.42399557453473</v>
      </c>
      <c r="I768" s="304">
        <f t="shared" ca="1" si="332"/>
        <v>133.58881112756296</v>
      </c>
      <c r="J768" s="306">
        <f t="shared" ca="1" si="333"/>
        <v>562.1938582823642</v>
      </c>
      <c r="K768" s="307">
        <f t="shared" ca="1" si="334"/>
        <v>131.02965010341862</v>
      </c>
      <c r="L768" s="304">
        <f t="shared" ca="1" si="319"/>
        <v>577.26138230149718</v>
      </c>
      <c r="M768" s="306">
        <f t="shared" ca="1" si="335"/>
        <v>-1.5211172275868081</v>
      </c>
      <c r="N768" s="304">
        <f t="shared" ca="1" si="336"/>
        <v>-87.153597285364825</v>
      </c>
      <c r="P768" s="310">
        <f t="shared" ca="1" si="337"/>
        <v>23</v>
      </c>
      <c r="Q768" s="304">
        <f t="shared" ca="1" si="338"/>
        <v>0</v>
      </c>
      <c r="R768" s="306">
        <f t="shared" ca="1" si="339"/>
        <v>0</v>
      </c>
      <c r="S768" s="307">
        <f t="shared" ca="1" si="340"/>
        <v>6.1519999999999921</v>
      </c>
      <c r="T768" s="304">
        <f t="shared" ca="1" si="320"/>
        <v>60.351119999999923</v>
      </c>
      <c r="U768" s="311">
        <f t="shared" ca="1" si="321"/>
        <v>0</v>
      </c>
      <c r="V768" s="306">
        <f t="shared" ca="1" si="322"/>
        <v>1.2090533421124974</v>
      </c>
      <c r="W768" s="304">
        <f t="shared" ca="1" si="323"/>
        <v>50.371541972520987</v>
      </c>
      <c r="Y768" s="314" t="str">
        <f t="shared" ca="1" si="341"/>
        <v/>
      </c>
      <c r="Z768" s="315" t="str">
        <f t="shared" ca="1" si="342"/>
        <v/>
      </c>
      <c r="AA768" s="316" t="str">
        <f t="shared" ca="1" si="343"/>
        <v/>
      </c>
      <c r="AC768" s="310" t="e">
        <f t="shared" ca="1" si="344"/>
        <v>#N/A</v>
      </c>
      <c r="AD768" s="323" t="e">
        <f t="shared" ca="1" si="345"/>
        <v>#N/A</v>
      </c>
      <c r="AE768" s="324" t="e">
        <f t="shared" ca="1" si="324"/>
        <v>#N/A</v>
      </c>
      <c r="AG768" s="306">
        <f t="shared" ca="1" si="346"/>
        <v>1.6408725133004047</v>
      </c>
      <c r="AH768" s="304">
        <f t="shared" ca="1" si="347"/>
        <v>-8.1568447522227334</v>
      </c>
    </row>
    <row r="769" spans="1:34" x14ac:dyDescent="0.2">
      <c r="A769" s="347">
        <f t="shared" ca="1" si="325"/>
        <v>0.1</v>
      </c>
      <c r="B769" s="304">
        <f t="shared" ca="1" si="326"/>
        <v>40.500000000000263</v>
      </c>
      <c r="D769" s="306">
        <f t="shared" ca="1" si="327"/>
        <v>-0.40659681839067169</v>
      </c>
      <c r="E769" s="307">
        <f t="shared" ca="1" si="328"/>
        <v>-1.6322698394200916</v>
      </c>
      <c r="F769" s="304">
        <f t="shared" ca="1" si="329"/>
        <v>1.6821491614615836</v>
      </c>
      <c r="G769" s="306">
        <f t="shared" ca="1" si="330"/>
        <v>6.5931825986366999</v>
      </c>
      <c r="H769" s="307">
        <f t="shared" ca="1" si="331"/>
        <v>-133.58722255847672</v>
      </c>
      <c r="I769" s="304">
        <f t="shared" ca="1" si="332"/>
        <v>133.7498264958387</v>
      </c>
      <c r="J769" s="306">
        <f t="shared" ca="1" si="333"/>
        <v>562.85520952631987</v>
      </c>
      <c r="K769" s="307">
        <f t="shared" ca="1" si="334"/>
        <v>117.67908919676805</v>
      </c>
      <c r="L769" s="304">
        <f t="shared" ca="1" si="319"/>
        <v>575.02552545526044</v>
      </c>
      <c r="M769" s="306">
        <f t="shared" ca="1" si="335"/>
        <v>-1.5214814535049617</v>
      </c>
      <c r="N769" s="304">
        <f t="shared" ca="1" si="336"/>
        <v>-87.174465893264298</v>
      </c>
      <c r="P769" s="310">
        <f t="shared" ca="1" si="337"/>
        <v>23</v>
      </c>
      <c r="Q769" s="304">
        <f t="shared" ca="1" si="338"/>
        <v>0</v>
      </c>
      <c r="R769" s="306">
        <f t="shared" ca="1" si="339"/>
        <v>0</v>
      </c>
      <c r="S769" s="307">
        <f t="shared" ca="1" si="340"/>
        <v>6.1519999999999921</v>
      </c>
      <c r="T769" s="304">
        <f t="shared" ca="1" si="320"/>
        <v>60.351119999999923</v>
      </c>
      <c r="U769" s="311">
        <f t="shared" ca="1" si="321"/>
        <v>0</v>
      </c>
      <c r="V769" s="306">
        <f t="shared" ca="1" si="322"/>
        <v>1.2106686366626205</v>
      </c>
      <c r="W769" s="304">
        <f t="shared" ca="1" si="323"/>
        <v>50.5605000467461</v>
      </c>
      <c r="Y769" s="314" t="str">
        <f t="shared" ca="1" si="341"/>
        <v/>
      </c>
      <c r="Z769" s="315" t="str">
        <f t="shared" ca="1" si="342"/>
        <v/>
      </c>
      <c r="AA769" s="316" t="str">
        <f t="shared" ca="1" si="343"/>
        <v/>
      </c>
      <c r="AC769" s="310" t="e">
        <f t="shared" ca="1" si="344"/>
        <v>#N/A</v>
      </c>
      <c r="AD769" s="323" t="e">
        <f t="shared" ca="1" si="345"/>
        <v>#N/A</v>
      </c>
      <c r="AE769" s="324" t="e">
        <f t="shared" ca="1" si="324"/>
        <v>#N/A</v>
      </c>
      <c r="AG769" s="306">
        <f t="shared" ca="1" si="346"/>
        <v>1.6100649661512527</v>
      </c>
      <c r="AH769" s="304">
        <f t="shared" ca="1" si="347"/>
        <v>-8.1878319201107033</v>
      </c>
    </row>
    <row r="770" spans="1:34" x14ac:dyDescent="0.2">
      <c r="A770" s="347">
        <f t="shared" ca="1" si="325"/>
        <v>0.1</v>
      </c>
      <c r="B770" s="304">
        <f t="shared" ca="1" si="326"/>
        <v>40.600000000000264</v>
      </c>
      <c r="D770" s="306">
        <f t="shared" ca="1" si="327"/>
        <v>-0.4051323378144473</v>
      </c>
      <c r="E770" s="307">
        <f t="shared" ca="1" si="328"/>
        <v>-1.6014447283099162</v>
      </c>
      <c r="F770" s="304">
        <f t="shared" ca="1" si="329"/>
        <v>1.6518951022914927</v>
      </c>
      <c r="G770" s="306">
        <f t="shared" ca="1" si="330"/>
        <v>6.5526693648552552</v>
      </c>
      <c r="H770" s="307">
        <f t="shared" ca="1" si="331"/>
        <v>-133.7473670313077</v>
      </c>
      <c r="I770" s="304">
        <f t="shared" ca="1" si="332"/>
        <v>133.90778791247524</v>
      </c>
      <c r="J770" s="306">
        <f t="shared" ca="1" si="333"/>
        <v>563.51250212449452</v>
      </c>
      <c r="K770" s="307">
        <f t="shared" ca="1" si="334"/>
        <v>104.31235971727882</v>
      </c>
      <c r="L770" s="304">
        <f t="shared" ca="1" si="319"/>
        <v>573.08586480596034</v>
      </c>
      <c r="M770" s="306">
        <f t="shared" ca="1" si="335"/>
        <v>-1.5218425847435839</v>
      </c>
      <c r="N770" s="304">
        <f t="shared" ca="1" si="336"/>
        <v>-87.195157189087681</v>
      </c>
      <c r="P770" s="310">
        <f t="shared" ca="1" si="337"/>
        <v>23</v>
      </c>
      <c r="Q770" s="304">
        <f t="shared" ca="1" si="338"/>
        <v>0</v>
      </c>
      <c r="R770" s="306">
        <f t="shared" ca="1" si="339"/>
        <v>0</v>
      </c>
      <c r="S770" s="307">
        <f t="shared" ca="1" si="340"/>
        <v>6.1519999999999921</v>
      </c>
      <c r="T770" s="304">
        <f t="shared" ca="1" si="320"/>
        <v>60.351119999999923</v>
      </c>
      <c r="U770" s="311">
        <f t="shared" ca="1" si="321"/>
        <v>0</v>
      </c>
      <c r="V770" s="306">
        <f t="shared" ca="1" si="322"/>
        <v>1.2122880366791653</v>
      </c>
      <c r="W770" s="304">
        <f t="shared" ca="1" si="323"/>
        <v>50.747786608643629</v>
      </c>
      <c r="Y770" s="314" t="str">
        <f t="shared" ca="1" si="341"/>
        <v/>
      </c>
      <c r="Z770" s="315" t="str">
        <f t="shared" ca="1" si="342"/>
        <v/>
      </c>
      <c r="AA770" s="316" t="str">
        <f t="shared" ca="1" si="343"/>
        <v/>
      </c>
      <c r="AC770" s="310" t="e">
        <f t="shared" ca="1" si="344"/>
        <v>#N/A</v>
      </c>
      <c r="AD770" s="323" t="e">
        <f t="shared" ca="1" si="345"/>
        <v>#N/A</v>
      </c>
      <c r="AE770" s="324" t="e">
        <f t="shared" ca="1" si="324"/>
        <v>#N/A</v>
      </c>
      <c r="AG770" s="306">
        <f t="shared" ca="1" si="346"/>
        <v>1.5795268479289266</v>
      </c>
      <c r="AH770" s="304">
        <f t="shared" ca="1" si="347"/>
        <v>-8.2185468216427449</v>
      </c>
    </row>
    <row r="771" spans="1:34" x14ac:dyDescent="0.2">
      <c r="A771" s="347">
        <f t="shared" ca="1" si="325"/>
        <v>0.1</v>
      </c>
      <c r="B771" s="304">
        <f t="shared" ca="1" si="326"/>
        <v>40.700000000000266</v>
      </c>
      <c r="D771" s="306">
        <f t="shared" ca="1" si="327"/>
        <v>-0.4036576590776737</v>
      </c>
      <c r="E771" s="307">
        <f t="shared" ca="1" si="328"/>
        <v>-1.5708922291697682</v>
      </c>
      <c r="F771" s="304">
        <f t="shared" ca="1" si="329"/>
        <v>1.6219253686276787</v>
      </c>
      <c r="G771" s="306">
        <f t="shared" ca="1" si="330"/>
        <v>6.5123035989474882</v>
      </c>
      <c r="H771" s="307">
        <f t="shared" ca="1" si="331"/>
        <v>-133.90445625422467</v>
      </c>
      <c r="I771" s="304">
        <f t="shared" ca="1" si="332"/>
        <v>134.06272227172039</v>
      </c>
      <c r="J771" s="306">
        <f t="shared" ca="1" si="333"/>
        <v>564.16575077268465</v>
      </c>
      <c r="K771" s="307">
        <f t="shared" ca="1" si="334"/>
        <v>90.929768553002205</v>
      </c>
      <c r="L771" s="304">
        <f t="shared" ca="1" si="319"/>
        <v>571.44660043962949</v>
      </c>
      <c r="M771" s="306">
        <f t="shared" ca="1" si="335"/>
        <v>-1.5222006592498865</v>
      </c>
      <c r="N771" s="304">
        <f t="shared" ca="1" si="336"/>
        <v>-87.215673347050057</v>
      </c>
      <c r="P771" s="310">
        <f t="shared" ca="1" si="337"/>
        <v>23</v>
      </c>
      <c r="Q771" s="304">
        <f t="shared" ca="1" si="338"/>
        <v>0</v>
      </c>
      <c r="R771" s="306">
        <f t="shared" ca="1" si="339"/>
        <v>0</v>
      </c>
      <c r="S771" s="307">
        <f t="shared" ca="1" si="340"/>
        <v>6.1519999999999921</v>
      </c>
      <c r="T771" s="304">
        <f t="shared" ca="1" si="320"/>
        <v>60.351119999999923</v>
      </c>
      <c r="U771" s="311">
        <f t="shared" ca="1" si="321"/>
        <v>0</v>
      </c>
      <c r="V771" s="306">
        <f t="shared" ca="1" si="322"/>
        <v>1.2139115170118429</v>
      </c>
      <c r="W771" s="304">
        <f t="shared" ca="1" si="323"/>
        <v>50.933405363188598</v>
      </c>
      <c r="Y771" s="314" t="str">
        <f t="shared" ca="1" si="341"/>
        <v/>
      </c>
      <c r="Z771" s="315" t="str">
        <f t="shared" ca="1" si="342"/>
        <v/>
      </c>
      <c r="AA771" s="316" t="str">
        <f t="shared" ca="1" si="343"/>
        <v/>
      </c>
      <c r="AC771" s="310" t="e">
        <f t="shared" ca="1" si="344"/>
        <v>#N/A</v>
      </c>
      <c r="AD771" s="323" t="e">
        <f t="shared" ca="1" si="345"/>
        <v>#N/A</v>
      </c>
      <c r="AE771" s="324" t="e">
        <f t="shared" ca="1" si="324"/>
        <v>#N/A</v>
      </c>
      <c r="AG771" s="306">
        <f t="shared" ca="1" si="346"/>
        <v>1.54925764661626</v>
      </c>
      <c r="AH771" s="304">
        <f t="shared" ca="1" si="347"/>
        <v>-8.248990020910874</v>
      </c>
    </row>
    <row r="772" spans="1:34" x14ac:dyDescent="0.2">
      <c r="A772" s="347">
        <f t="shared" ca="1" si="325"/>
        <v>0.1</v>
      </c>
      <c r="B772" s="304">
        <f t="shared" ca="1" si="326"/>
        <v>40.800000000000267</v>
      </c>
      <c r="D772" s="306">
        <f t="shared" ca="1" si="327"/>
        <v>-0.40217307509295053</v>
      </c>
      <c r="E772" s="307">
        <f t="shared" ca="1" si="328"/>
        <v>-1.5406117378933928</v>
      </c>
      <c r="F772" s="304">
        <f t="shared" ca="1" si="329"/>
        <v>1.5922398403709852</v>
      </c>
      <c r="G772" s="306">
        <f t="shared" ca="1" si="330"/>
        <v>6.4720862914381936</v>
      </c>
      <c r="H772" s="307">
        <f t="shared" ca="1" si="331"/>
        <v>-134.058517428014</v>
      </c>
      <c r="I772" s="304">
        <f t="shared" ca="1" si="332"/>
        <v>134.21465641263237</v>
      </c>
      <c r="J772" s="306">
        <f t="shared" ca="1" si="333"/>
        <v>564.81497026720388</v>
      </c>
      <c r="K772" s="307">
        <f t="shared" ca="1" si="334"/>
        <v>77.531619868890274</v>
      </c>
      <c r="L772" s="304">
        <f t="shared" ref="L772:L835" ca="1" si="348">SQRT(pos_x^2+pos_z^2)</f>
        <v>570.1114827096859</v>
      </c>
      <c r="M772" s="306">
        <f t="shared" ca="1" si="335"/>
        <v>-1.5225557142863522</v>
      </c>
      <c r="N772" s="304">
        <f t="shared" ca="1" si="336"/>
        <v>-87.236016502134405</v>
      </c>
      <c r="P772" s="310">
        <f t="shared" ca="1" si="337"/>
        <v>23</v>
      </c>
      <c r="Q772" s="304">
        <f t="shared" ca="1" si="338"/>
        <v>0</v>
      </c>
      <c r="R772" s="306">
        <f t="shared" ca="1" si="339"/>
        <v>0</v>
      </c>
      <c r="S772" s="307">
        <f t="shared" ca="1" si="340"/>
        <v>6.1519999999999921</v>
      </c>
      <c r="T772" s="304">
        <f t="shared" ref="T772:T835" ca="1" si="349">m*g</f>
        <v>60.351119999999923</v>
      </c>
      <c r="U772" s="311">
        <f t="shared" ref="U772:U835" ca="1" si="350">IF(pos_xz&lt;L_rampe,Poids*COS(Beta),0)</f>
        <v>0</v>
      </c>
      <c r="V772" s="306">
        <f t="shared" ref="V772:V835" ca="1" si="351">Rho_moyen*(20000-Alt_rampe-pos_z)/(20000+Alt_rampe+pos_z)</f>
        <v>1.2155390526945653</v>
      </c>
      <c r="W772" s="304">
        <f t="shared" ref="W772:W835" ca="1" si="352">1/2*Rho*Sref*Cx*vit_xz^2</f>
        <v>51.117360244580276</v>
      </c>
      <c r="Y772" s="314" t="str">
        <f t="shared" ca="1" si="341"/>
        <v/>
      </c>
      <c r="Z772" s="315" t="str">
        <f t="shared" ca="1" si="342"/>
        <v/>
      </c>
      <c r="AA772" s="316" t="str">
        <f t="shared" ca="1" si="343"/>
        <v/>
      </c>
      <c r="AC772" s="310" t="e">
        <f t="shared" ca="1" si="344"/>
        <v>#N/A</v>
      </c>
      <c r="AD772" s="323" t="e">
        <f t="shared" ca="1" si="345"/>
        <v>#N/A</v>
      </c>
      <c r="AE772" s="324" t="e">
        <f t="shared" ref="AE772:AE835" ca="1" si="353">IF(t&lt;T_para, pos_z, NA())</f>
        <v>#N/A</v>
      </c>
      <c r="AG772" s="306">
        <f t="shared" ca="1" si="346"/>
        <v>1.5192568108855049</v>
      </c>
      <c r="AH772" s="304">
        <f t="shared" ca="1" si="347"/>
        <v>-8.2791621201542043</v>
      </c>
    </row>
    <row r="773" spans="1:34" x14ac:dyDescent="0.2">
      <c r="A773" s="347">
        <f t="shared" ref="A773:A836" ca="1" si="354">IF(B772+0.01&lt;=T_ini+ROUNDUP(Temps_fin_propu,0), 0.01, IF(K772&gt;0, 0.1, 0.0001))</f>
        <v>0.1</v>
      </c>
      <c r="B773" s="304">
        <f t="shared" ref="B773:B836" ca="1" si="355">B772+pas</f>
        <v>40.900000000000269</v>
      </c>
      <c r="D773" s="306">
        <f t="shared" ref="D773:D836" ca="1" si="356">IF(AND(L772&lt;L_rampe,Poussee&lt;Poids*SIN(M772)),0,(-W772+Poussee)/m*COS(M772)-U772/m*SIN(M772))</f>
        <v>-0.40067887580882389</v>
      </c>
      <c r="E773" s="307">
        <f t="shared" ref="E773:E836" ca="1" si="357">IF(AND(L772&lt;L_rampe,Poussee&lt;Poids*SIN(M772)),0,(-W772+Poussee)/m*SIN(M772)+U772/m*COS(M772)-Poids/m)</f>
        <v>-1.5106026129917058</v>
      </c>
      <c r="F773" s="304">
        <f t="shared" ref="F773:F836" ca="1" si="358">SQRT(acc_x^2+acc_z^2)</f>
        <v>1.562838384445683</v>
      </c>
      <c r="G773" s="306">
        <f t="shared" ref="G773:G836" ca="1" si="359">G772+acc_x*pas</f>
        <v>6.4320184038573114</v>
      </c>
      <c r="H773" s="307">
        <f t="shared" ref="H773:H836" ca="1" si="360">H772+acc_z*pas</f>
        <v>-134.20957768931316</v>
      </c>
      <c r="I773" s="304">
        <f t="shared" ref="I773:I836" ca="1" si="361">SQRT(vit_x^2+vit_z^2)</f>
        <v>134.36361711524196</v>
      </c>
      <c r="J773" s="306">
        <f t="shared" ref="J773:J836" ca="1" si="362">J772+0.5*(vit_x+G772)*pas*(K772&gt;=0)</f>
        <v>565.46017550196871</v>
      </c>
      <c r="K773" s="307">
        <f t="shared" ref="K773:K836" ca="1" si="363">K772+0.5*(vit_z+H772)*pas</f>
        <v>64.118215113023922</v>
      </c>
      <c r="L773" s="304">
        <f t="shared" ca="1" si="348"/>
        <v>569.08378608777571</v>
      </c>
      <c r="M773" s="306">
        <f t="shared" ref="M773:M836" ca="1" si="364">IF(AND(L772&gt;L_rampe,G773&gt;0),ATAN2(G773,H773),$M$4)</f>
        <v>-1.5229077864463834</v>
      </c>
      <c r="N773" s="304">
        <f t="shared" ref="N773:N836" ca="1" si="365">DEGREES(Beta)</f>
        <v>-87.256188750988244</v>
      </c>
      <c r="P773" s="310">
        <f t="shared" ref="P773:P836" ca="1" si="366">MATCH(t-pas/2-T_ini,CdP_t)</f>
        <v>23</v>
      </c>
      <c r="Q773" s="304">
        <f t="shared" ref="Q773:Q836" ca="1" si="367">(INDEX(CdP,2,i_P+1)-INDEX(CdP,2,i_P+0))/(INDEX(CdP,1,i_P+1)-INDEX(CdP,1,i_P+0))*(t-pas/2-T_ini-INDEX(CdP,1,i_P+0))+INDEX(CdP,2,i_P+0)</f>
        <v>0</v>
      </c>
      <c r="R773" s="306">
        <f t="shared" ref="R773:R836" ca="1" si="368">Poussee/(g*ISP)</f>
        <v>0</v>
      </c>
      <c r="S773" s="307">
        <f t="shared" ref="S773:S836" ca="1" si="369">S772-Débit*pas</f>
        <v>6.1519999999999921</v>
      </c>
      <c r="T773" s="304">
        <f t="shared" ca="1" si="349"/>
        <v>60.351119999999923</v>
      </c>
      <c r="U773" s="311">
        <f t="shared" ca="1" si="350"/>
        <v>0</v>
      </c>
      <c r="V773" s="306">
        <f t="shared" ca="1" si="351"/>
        <v>1.2171706189455873</v>
      </c>
      <c r="W773" s="304">
        <f t="shared" ca="1" si="352"/>
        <v>51.29965541082597</v>
      </c>
      <c r="Y773" s="314" t="str">
        <f t="shared" ref="Y773:Y836" ca="1" si="370">IF(AND(pos_z&lt;=0,K772&gt;0),"Impact balistique","") &amp; IF(AND(H774&lt;0,vit_z&gt;=0),"Apogée","") &amp; IF(AND(Poussee=0,Q772&gt;0),"Fin de propulsion","") &amp; IF(AND(L774&gt;L_rampe,pos_xz&lt;=L_rampe),"Sortie de rampe","")</f>
        <v/>
      </c>
      <c r="Z773" s="315" t="str">
        <f t="shared" ref="Z773:Z836" ca="1" si="371">IF(ABS(t-T_para)&lt;pas/2,"Para","")</f>
        <v/>
      </c>
      <c r="AA773" s="316" t="str">
        <f t="shared" ref="AA773:AA836" ca="1" si="372">IF(ABS(t-T_satellite)&lt;pas/2,"Satellite","")</f>
        <v/>
      </c>
      <c r="AC773" s="310" t="e">
        <f t="shared" ref="AC773:AC836" ca="1" si="373">IF(ABS(t-ROUND(t,0))&lt;0.001,t,NA())</f>
        <v>#N/A</v>
      </c>
      <c r="AD773" s="323" t="e">
        <f t="shared" ref="AD773:AD836" ca="1" si="374">IF(ABS(t-ROUND(t,0))&lt;0.001,pos_x,NA())</f>
        <v>#N/A</v>
      </c>
      <c r="AE773" s="324" t="e">
        <f t="shared" ca="1" si="353"/>
        <v>#N/A</v>
      </c>
      <c r="AG773" s="306">
        <f t="shared" ref="AG773:AG836" ca="1" si="375">IF(AND(L772&lt;L_rampe,Poussee&lt;Poids*SIN(M772)),0,(-W772+Poussee)/m-Poids*SIN(M772)/m)</f>
        <v>1.4895237510166943</v>
      </c>
      <c r="AH773" s="304">
        <f t="shared" ref="AH773:AH836" ca="1" si="376">IF(AND(L772&lt;L_rampe,Poussee&lt;Poids*SIN(M772)), g*SIN(M772), (-W772+Poussee)/m)</f>
        <v>-8.3090637588719662</v>
      </c>
    </row>
    <row r="774" spans="1:34" x14ac:dyDescent="0.2">
      <c r="A774" s="347">
        <f t="shared" ca="1" si="354"/>
        <v>0.1</v>
      </c>
      <c r="B774" s="304">
        <f t="shared" ca="1" si="355"/>
        <v>41.00000000000027</v>
      </c>
      <c r="D774" s="306">
        <f t="shared" ca="1" si="356"/>
        <v>-0.39917534819424133</v>
      </c>
      <c r="E774" s="307">
        <f t="shared" ca="1" si="357"/>
        <v>-1.4808641764760058</v>
      </c>
      <c r="F774" s="304">
        <f t="shared" ca="1" si="358"/>
        <v>1.5337208571888017</v>
      </c>
      <c r="G774" s="306">
        <f t="shared" ca="1" si="359"/>
        <v>6.3921008690378871</v>
      </c>
      <c r="H774" s="307">
        <f t="shared" ca="1" si="360"/>
        <v>-134.35766410696075</v>
      </c>
      <c r="I774" s="304">
        <f t="shared" ca="1" si="361"/>
        <v>134.50963109680603</v>
      </c>
      <c r="J774" s="306">
        <f t="shared" ca="1" si="362"/>
        <v>566.10138146561349</v>
      </c>
      <c r="K774" s="307">
        <f t="shared" ca="1" si="363"/>
        <v>50.689853023210226</v>
      </c>
      <c r="L774" s="304">
        <f t="shared" ca="1" si="348"/>
        <v>568.36628620704687</v>
      </c>
      <c r="M774" s="306">
        <f t="shared" ca="1" si="364"/>
        <v>-1.5232569116695323</v>
      </c>
      <c r="N774" s="304">
        <f t="shared" ca="1" si="365"/>
        <v>-87.276192152796241</v>
      </c>
      <c r="P774" s="310">
        <f t="shared" ca="1" si="366"/>
        <v>23</v>
      </c>
      <c r="Q774" s="304">
        <f t="shared" ca="1" si="367"/>
        <v>0</v>
      </c>
      <c r="R774" s="306">
        <f t="shared" ca="1" si="368"/>
        <v>0</v>
      </c>
      <c r="S774" s="307">
        <f t="shared" ca="1" si="369"/>
        <v>6.1519999999999921</v>
      </c>
      <c r="T774" s="304">
        <f t="shared" ca="1" si="349"/>
        <v>60.351119999999923</v>
      </c>
      <c r="U774" s="311">
        <f t="shared" ca="1" si="350"/>
        <v>0</v>
      </c>
      <c r="V774" s="306">
        <f t="shared" ca="1" si="351"/>
        <v>1.2188061911676253</v>
      </c>
      <c r="W774" s="304">
        <f t="shared" ca="1" si="352"/>
        <v>51.480295238367404</v>
      </c>
      <c r="Y774" s="314" t="str">
        <f t="shared" ca="1" si="370"/>
        <v/>
      </c>
      <c r="Z774" s="315" t="str">
        <f t="shared" ca="1" si="371"/>
        <v/>
      </c>
      <c r="AA774" s="316" t="str">
        <f t="shared" ca="1" si="372"/>
        <v/>
      </c>
      <c r="AC774" s="310">
        <f t="shared" ca="1" si="373"/>
        <v>41.00000000000027</v>
      </c>
      <c r="AD774" s="323">
        <f t="shared" ca="1" si="374"/>
        <v>566.10138146561349</v>
      </c>
      <c r="AE774" s="324" t="e">
        <f t="shared" ca="1" si="353"/>
        <v>#N/A</v>
      </c>
      <c r="AG774" s="306">
        <f t="shared" ca="1" si="375"/>
        <v>1.4600578398084174</v>
      </c>
      <c r="AH774" s="304">
        <f t="shared" ca="1" si="376"/>
        <v>-8.3386956129431145</v>
      </c>
    </row>
    <row r="775" spans="1:34" x14ac:dyDescent="0.2">
      <c r="A775" s="347">
        <f t="shared" ca="1" si="354"/>
        <v>0.1</v>
      </c>
      <c r="B775" s="304">
        <f t="shared" ca="1" si="355"/>
        <v>41.100000000000271</v>
      </c>
      <c r="D775" s="306">
        <f t="shared" ca="1" si="356"/>
        <v>-0.39766277622433782</v>
      </c>
      <c r="E775" s="307">
        <f t="shared" ca="1" si="357"/>
        <v>-1.4513957147342538</v>
      </c>
      <c r="F775" s="304">
        <f t="shared" ca="1" si="358"/>
        <v>1.5048871068433682</v>
      </c>
      <c r="G775" s="306">
        <f t="shared" ca="1" si="359"/>
        <v>6.3523345914154534</v>
      </c>
      <c r="H775" s="307">
        <f t="shared" ca="1" si="360"/>
        <v>-134.50280367843419</v>
      </c>
      <c r="I775" s="304">
        <f t="shared" ca="1" si="361"/>
        <v>134.6527250081509</v>
      </c>
      <c r="J775" s="306">
        <f t="shared" ca="1" si="362"/>
        <v>566.73860323863619</v>
      </c>
      <c r="K775" s="307">
        <f t="shared" ca="1" si="363"/>
        <v>37.246829633940479</v>
      </c>
      <c r="L775" s="304">
        <f t="shared" ca="1" si="348"/>
        <v>567.96124050736069</v>
      </c>
      <c r="M775" s="306">
        <f t="shared" ca="1" si="364"/>
        <v>-1.5236031252563218</v>
      </c>
      <c r="N775" s="304">
        <f t="shared" ca="1" si="365"/>
        <v>-87.296028730129365</v>
      </c>
      <c r="P775" s="310">
        <f t="shared" ca="1" si="366"/>
        <v>23</v>
      </c>
      <c r="Q775" s="304">
        <f t="shared" ca="1" si="367"/>
        <v>0</v>
      </c>
      <c r="R775" s="306">
        <f t="shared" ca="1" si="368"/>
        <v>0</v>
      </c>
      <c r="S775" s="307">
        <f t="shared" ca="1" si="369"/>
        <v>6.1519999999999921</v>
      </c>
      <c r="T775" s="304">
        <f t="shared" ca="1" si="349"/>
        <v>60.351119999999923</v>
      </c>
      <c r="U775" s="311">
        <f t="shared" ca="1" si="350"/>
        <v>0</v>
      </c>
      <c r="V775" s="306">
        <f t="shared" ca="1" si="351"/>
        <v>1.2204457449479442</v>
      </c>
      <c r="W775" s="304">
        <f t="shared" ca="1" si="352"/>
        <v>51.659284316750295</v>
      </c>
      <c r="Y775" s="314" t="str">
        <f t="shared" ca="1" si="370"/>
        <v/>
      </c>
      <c r="Z775" s="315" t="str">
        <f t="shared" ca="1" si="371"/>
        <v/>
      </c>
      <c r="AA775" s="316" t="str">
        <f t="shared" ca="1" si="372"/>
        <v/>
      </c>
      <c r="AC775" s="310" t="e">
        <f t="shared" ca="1" si="373"/>
        <v>#N/A</v>
      </c>
      <c r="AD775" s="323" t="e">
        <f t="shared" ca="1" si="374"/>
        <v>#N/A</v>
      </c>
      <c r="AE775" s="324" t="e">
        <f t="shared" ca="1" si="353"/>
        <v>#N/A</v>
      </c>
      <c r="AG775" s="306">
        <f t="shared" ca="1" si="375"/>
        <v>1.4308584134807685</v>
      </c>
      <c r="AH775" s="304">
        <f t="shared" ca="1" si="376"/>
        <v>-8.3680583937528397</v>
      </c>
    </row>
    <row r="776" spans="1:34" x14ac:dyDescent="0.2">
      <c r="A776" s="347">
        <f t="shared" ca="1" si="354"/>
        <v>0.1</v>
      </c>
      <c r="B776" s="304">
        <f t="shared" ca="1" si="355"/>
        <v>41.200000000000273</v>
      </c>
      <c r="D776" s="306">
        <f t="shared" ca="1" si="356"/>
        <v>-0.39614144086756303</v>
      </c>
      <c r="E776" s="307">
        <f t="shared" ca="1" si="357"/>
        <v>-1.4221964794003004</v>
      </c>
      <c r="F776" s="304">
        <f t="shared" ca="1" si="358"/>
        <v>1.4763369761647365</v>
      </c>
      <c r="G776" s="306">
        <f t="shared" ca="1" si="359"/>
        <v>6.3127204473286973</v>
      </c>
      <c r="H776" s="307">
        <f t="shared" ca="1" si="360"/>
        <v>-134.64502332637423</v>
      </c>
      <c r="I776" s="304">
        <f t="shared" ca="1" si="361"/>
        <v>134.7929254301055</v>
      </c>
      <c r="J776" s="306">
        <f t="shared" ca="1" si="362"/>
        <v>567.37185599057341</v>
      </c>
      <c r="K776" s="307">
        <f t="shared" ca="1" si="363"/>
        <v>23.789438283700058</v>
      </c>
      <c r="L776" s="304">
        <f t="shared" ca="1" si="348"/>
        <v>567.8703728352466</v>
      </c>
      <c r="M776" s="306">
        <f t="shared" ca="1" si="364"/>
        <v>-1.5239464618826744</v>
      </c>
      <c r="N776" s="304">
        <f t="shared" ca="1" si="365"/>
        <v>-87.315700469771627</v>
      </c>
      <c r="P776" s="310">
        <f t="shared" ca="1" si="366"/>
        <v>23</v>
      </c>
      <c r="Q776" s="304">
        <f t="shared" ca="1" si="367"/>
        <v>0</v>
      </c>
      <c r="R776" s="306">
        <f t="shared" ca="1" si="368"/>
        <v>0</v>
      </c>
      <c r="S776" s="307">
        <f t="shared" ca="1" si="369"/>
        <v>6.1519999999999921</v>
      </c>
      <c r="T776" s="304">
        <f t="shared" ca="1" si="349"/>
        <v>60.351119999999923</v>
      </c>
      <c r="U776" s="311">
        <f t="shared" ca="1" si="350"/>
        <v>0</v>
      </c>
      <c r="V776" s="306">
        <f t="shared" ca="1" si="351"/>
        <v>1.2220892560584147</v>
      </c>
      <c r="W776" s="304">
        <f t="shared" ca="1" si="352"/>
        <v>51.836627443339097</v>
      </c>
      <c r="Y776" s="314" t="str">
        <f t="shared" ca="1" si="370"/>
        <v/>
      </c>
      <c r="Z776" s="315" t="str">
        <f t="shared" ca="1" si="371"/>
        <v/>
      </c>
      <c r="AA776" s="316" t="str">
        <f t="shared" ca="1" si="372"/>
        <v/>
      </c>
      <c r="AC776" s="310" t="e">
        <f t="shared" ca="1" si="373"/>
        <v>#N/A</v>
      </c>
      <c r="AD776" s="323" t="e">
        <f t="shared" ca="1" si="374"/>
        <v>#N/A</v>
      </c>
      <c r="AE776" s="324" t="e">
        <f t="shared" ca="1" si="353"/>
        <v>#N/A</v>
      </c>
      <c r="AG776" s="306">
        <f t="shared" ca="1" si="375"/>
        <v>1.4019247725702968</v>
      </c>
      <c r="AH776" s="304">
        <f t="shared" ca="1" si="376"/>
        <v>-8.3971528473261312</v>
      </c>
    </row>
    <row r="777" spans="1:34" x14ac:dyDescent="0.2">
      <c r="A777" s="347">
        <f t="shared" ca="1" si="354"/>
        <v>0.1</v>
      </c>
      <c r="B777" s="304">
        <f t="shared" ca="1" si="355"/>
        <v>41.300000000000274</v>
      </c>
      <c r="D777" s="306">
        <f t="shared" ca="1" si="356"/>
        <v>-0.39461162007408501</v>
      </c>
      <c r="E777" s="307">
        <f t="shared" ca="1" si="357"/>
        <v>-1.3932656882157559</v>
      </c>
      <c r="F777" s="304">
        <f t="shared" ca="1" si="358"/>
        <v>1.4480703051498633</v>
      </c>
      <c r="G777" s="306">
        <f t="shared" ca="1" si="359"/>
        <v>6.2732592853212887</v>
      </c>
      <c r="H777" s="307">
        <f t="shared" ca="1" si="360"/>
        <v>-134.78434989519582</v>
      </c>
      <c r="I777" s="304">
        <f t="shared" ca="1" si="361"/>
        <v>134.93025887002307</v>
      </c>
      <c r="J777" s="306">
        <f t="shared" ca="1" si="362"/>
        <v>568.00115497720594</v>
      </c>
      <c r="K777" s="307">
        <f t="shared" ca="1" si="363"/>
        <v>10.317969622621556</v>
      </c>
      <c r="L777" s="304">
        <f t="shared" ca="1" si="348"/>
        <v>568.09486228320463</v>
      </c>
      <c r="M777" s="306">
        <f t="shared" ca="1" si="364"/>
        <v>-1.5242869556139573</v>
      </c>
      <c r="N777" s="304">
        <f t="shared" ca="1" si="365"/>
        <v>-87.335209323524793</v>
      </c>
      <c r="P777" s="310">
        <f t="shared" ca="1" si="366"/>
        <v>23</v>
      </c>
      <c r="Q777" s="304">
        <f t="shared" ca="1" si="367"/>
        <v>0</v>
      </c>
      <c r="R777" s="306">
        <f t="shared" ca="1" si="368"/>
        <v>0</v>
      </c>
      <c r="S777" s="307">
        <f t="shared" ca="1" si="369"/>
        <v>6.1519999999999921</v>
      </c>
      <c r="T777" s="304">
        <f t="shared" ca="1" si="349"/>
        <v>60.351119999999923</v>
      </c>
      <c r="U777" s="311">
        <f t="shared" ca="1" si="350"/>
        <v>0</v>
      </c>
      <c r="V777" s="306">
        <f t="shared" ca="1" si="351"/>
        <v>1.2237367004555451</v>
      </c>
      <c r="W777" s="304">
        <f t="shared" ca="1" si="352"/>
        <v>52.012329618077707</v>
      </c>
      <c r="Y777" s="314" t="str">
        <f t="shared" ca="1" si="370"/>
        <v/>
      </c>
      <c r="Z777" s="315" t="str">
        <f t="shared" ca="1" si="371"/>
        <v/>
      </c>
      <c r="AA777" s="316" t="str">
        <f t="shared" ca="1" si="372"/>
        <v/>
      </c>
      <c r="AC777" s="310" t="e">
        <f t="shared" ca="1" si="373"/>
        <v>#N/A</v>
      </c>
      <c r="AD777" s="323" t="e">
        <f t="shared" ca="1" si="374"/>
        <v>#N/A</v>
      </c>
      <c r="AE777" s="324" t="e">
        <f t="shared" ca="1" si="353"/>
        <v>#N/A</v>
      </c>
      <c r="AG777" s="306">
        <f t="shared" ca="1" si="375"/>
        <v>1.3732561828167693</v>
      </c>
      <c r="AH777" s="304">
        <f t="shared" ca="1" si="376"/>
        <v>-8.4259797534686545</v>
      </c>
    </row>
    <row r="778" spans="1:34" x14ac:dyDescent="0.2">
      <c r="A778" s="347">
        <f t="shared" ca="1" si="354"/>
        <v>0.1</v>
      </c>
      <c r="B778" s="304">
        <f t="shared" ca="1" si="355"/>
        <v>41.400000000000276</v>
      </c>
      <c r="D778" s="306">
        <f t="shared" ca="1" si="356"/>
        <v>-0.39307358876546628</v>
      </c>
      <c r="E778" s="307">
        <f t="shared" ca="1" si="357"/>
        <v>-1.3646025258843704</v>
      </c>
      <c r="F778" s="304">
        <f t="shared" ca="1" si="358"/>
        <v>1.4200869339005153</v>
      </c>
      <c r="G778" s="306">
        <f t="shared" ca="1" si="359"/>
        <v>6.2339519264447425</v>
      </c>
      <c r="H778" s="307">
        <f t="shared" ca="1" si="360"/>
        <v>-134.92081014778427</v>
      </c>
      <c r="I778" s="304">
        <f t="shared" ca="1" si="361"/>
        <v>135.06475175839057</v>
      </c>
      <c r="J778" s="306">
        <f t="shared" ca="1" si="362"/>
        <v>568.62651553779426</v>
      </c>
      <c r="K778" s="307">
        <f t="shared" ca="1" si="363"/>
        <v>-3.1672883795274487</v>
      </c>
      <c r="L778" s="304">
        <f t="shared" ca="1" si="348"/>
        <v>568.63533647526026</v>
      </c>
      <c r="M778" s="306">
        <f t="shared" ca="1" si="364"/>
        <v>-1.5246246399186585</v>
      </c>
      <c r="N778" s="304">
        <f t="shared" ca="1" si="365"/>
        <v>-87.354557208991992</v>
      </c>
      <c r="P778" s="310">
        <f t="shared" ca="1" si="366"/>
        <v>23</v>
      </c>
      <c r="Q778" s="304">
        <f t="shared" ca="1" si="367"/>
        <v>0</v>
      </c>
      <c r="R778" s="306">
        <f t="shared" ca="1" si="368"/>
        <v>0</v>
      </c>
      <c r="S778" s="307">
        <f t="shared" ca="1" si="369"/>
        <v>6.1519999999999921</v>
      </c>
      <c r="T778" s="304">
        <f t="shared" ca="1" si="349"/>
        <v>60.351119999999923</v>
      </c>
      <c r="U778" s="311">
        <f t="shared" ca="1" si="350"/>
        <v>0</v>
      </c>
      <c r="V778" s="306">
        <f t="shared" ca="1" si="351"/>
        <v>1.2253880542804829</v>
      </c>
      <c r="W778" s="304">
        <f t="shared" ca="1" si="352"/>
        <v>52.18639603829731</v>
      </c>
      <c r="Y778" s="314" t="str">
        <f t="shared" ca="1" si="370"/>
        <v>Impact balistique</v>
      </c>
      <c r="Z778" s="315" t="str">
        <f t="shared" ca="1" si="371"/>
        <v/>
      </c>
      <c r="AA778" s="316" t="str">
        <f t="shared" ca="1" si="372"/>
        <v/>
      </c>
      <c r="AC778" s="310" t="e">
        <f t="shared" ca="1" si="373"/>
        <v>#N/A</v>
      </c>
      <c r="AD778" s="323" t="e">
        <f t="shared" ca="1" si="374"/>
        <v>#N/A</v>
      </c>
      <c r="AE778" s="324" t="e">
        <f t="shared" ca="1" si="353"/>
        <v>#N/A</v>
      </c>
      <c r="AG778" s="306">
        <f t="shared" ca="1" si="375"/>
        <v>1.3448518760416004</v>
      </c>
      <c r="AH778" s="304">
        <f t="shared" ca="1" si="376"/>
        <v>-8.4545399249151121</v>
      </c>
    </row>
    <row r="779" spans="1:34" x14ac:dyDescent="0.2">
      <c r="A779" s="347">
        <f t="shared" ca="1" si="354"/>
        <v>1E-4</v>
      </c>
      <c r="B779" s="304">
        <f t="shared" ca="1" si="355"/>
        <v>41.400100000000279</v>
      </c>
      <c r="D779" s="306">
        <f t="shared" ca="1" si="356"/>
        <v>-0.39152761882557668</v>
      </c>
      <c r="E779" s="307">
        <f t="shared" ca="1" si="357"/>
        <v>-1.3362061449187159</v>
      </c>
      <c r="F779" s="304">
        <f t="shared" ca="1" si="358"/>
        <v>1.3923867056323693</v>
      </c>
      <c r="G779" s="306">
        <f t="shared" ca="1" si="359"/>
        <v>6.2339127736828601</v>
      </c>
      <c r="H779" s="307">
        <f t="shared" ca="1" si="360"/>
        <v>-134.92094376839876</v>
      </c>
      <c r="I779" s="304">
        <f t="shared" ca="1" si="361"/>
        <v>135.06488342950328</v>
      </c>
      <c r="J779" s="306">
        <f t="shared" ca="1" si="362"/>
        <v>568.62651553779426</v>
      </c>
      <c r="K779" s="307">
        <f t="shared" ca="1" si="363"/>
        <v>-3.1807804672232578</v>
      </c>
      <c r="L779" s="304">
        <f t="shared" ca="1" si="348"/>
        <v>568.63541178600019</v>
      </c>
      <c r="M779" s="306">
        <f t="shared" ca="1" si="364"/>
        <v>-1.5246249751526002</v>
      </c>
      <c r="N779" s="304">
        <f t="shared" ca="1" si="365"/>
        <v>-87.35457641648199</v>
      </c>
      <c r="P779" s="310">
        <f t="shared" ca="1" si="366"/>
        <v>23</v>
      </c>
      <c r="Q779" s="304">
        <f t="shared" ca="1" si="367"/>
        <v>0</v>
      </c>
      <c r="R779" s="306">
        <f t="shared" ca="1" si="368"/>
        <v>0</v>
      </c>
      <c r="S779" s="307">
        <f t="shared" ca="1" si="369"/>
        <v>6.1519999999999921</v>
      </c>
      <c r="T779" s="304">
        <f t="shared" ca="1" si="349"/>
        <v>60.351119999999923</v>
      </c>
      <c r="U779" s="311">
        <f t="shared" ca="1" si="350"/>
        <v>0</v>
      </c>
      <c r="V779" s="306">
        <f t="shared" ca="1" si="351"/>
        <v>1.2253897075859488</v>
      </c>
      <c r="W779" s="304">
        <f t="shared" ca="1" si="352"/>
        <v>52.186568199196337</v>
      </c>
      <c r="Y779" s="314" t="str">
        <f t="shared" ca="1" si="370"/>
        <v/>
      </c>
      <c r="Z779" s="315" t="str">
        <f t="shared" ca="1" si="371"/>
        <v/>
      </c>
      <c r="AA779" s="316" t="str">
        <f t="shared" ca="1" si="372"/>
        <v/>
      </c>
      <c r="AC779" s="310" t="e">
        <f t="shared" ca="1" si="373"/>
        <v>#N/A</v>
      </c>
      <c r="AD779" s="323" t="e">
        <f t="shared" ca="1" si="374"/>
        <v>#N/A</v>
      </c>
      <c r="AE779" s="324" t="e">
        <f t="shared" ca="1" si="353"/>
        <v>#N/A</v>
      </c>
      <c r="AG779" s="306">
        <f t="shared" ca="1" si="375"/>
        <v>1.3167110510177835</v>
      </c>
      <c r="AH779" s="304">
        <f t="shared" ca="1" si="376"/>
        <v>-8.4828342064852702</v>
      </c>
    </row>
    <row r="780" spans="1:34" x14ac:dyDescent="0.2">
      <c r="A780" s="347">
        <f t="shared" ca="1" si="354"/>
        <v>1E-4</v>
      </c>
      <c r="B780" s="304">
        <f t="shared" ca="1" si="355"/>
        <v>41.400200000000282</v>
      </c>
      <c r="D780" s="306">
        <f t="shared" ca="1" si="356"/>
        <v>-0.39152606974731613</v>
      </c>
      <c r="E780" s="307">
        <f t="shared" ca="1" si="357"/>
        <v>-1.336178058947727</v>
      </c>
      <c r="F780" s="304">
        <f t="shared" ca="1" si="358"/>
        <v>1.3923593173118409</v>
      </c>
      <c r="G780" s="306">
        <f t="shared" ca="1" si="359"/>
        <v>6.2338736210758858</v>
      </c>
      <c r="H780" s="307">
        <f t="shared" ca="1" si="360"/>
        <v>-134.92107738620464</v>
      </c>
      <c r="I780" s="304">
        <f t="shared" ca="1" si="361"/>
        <v>135.06501509783268</v>
      </c>
      <c r="J780" s="306">
        <f t="shared" ca="1" si="362"/>
        <v>568.62651553779426</v>
      </c>
      <c r="K780" s="307">
        <f t="shared" ca="1" si="363"/>
        <v>-3.1942725682809878</v>
      </c>
      <c r="L780" s="304">
        <f t="shared" ca="1" si="348"/>
        <v>568.63548741693376</v>
      </c>
      <c r="M780" s="306">
        <f t="shared" ca="1" si="364"/>
        <v>-1.5246253103837828</v>
      </c>
      <c r="N780" s="304">
        <f t="shared" ca="1" si="365"/>
        <v>-87.354595623813921</v>
      </c>
      <c r="P780" s="310">
        <f t="shared" ca="1" si="366"/>
        <v>23</v>
      </c>
      <c r="Q780" s="304">
        <f t="shared" ca="1" si="367"/>
        <v>0</v>
      </c>
      <c r="R780" s="306">
        <f t="shared" ca="1" si="368"/>
        <v>0</v>
      </c>
      <c r="S780" s="307">
        <f t="shared" ca="1" si="369"/>
        <v>6.1519999999999921</v>
      </c>
      <c r="T780" s="304">
        <f t="shared" ca="1" si="349"/>
        <v>60.351119999999923</v>
      </c>
      <c r="U780" s="311">
        <f t="shared" ca="1" si="350"/>
        <v>0</v>
      </c>
      <c r="V780" s="306">
        <f t="shared" ca="1" si="351"/>
        <v>1.2253913608952833</v>
      </c>
      <c r="W780" s="304">
        <f t="shared" ca="1" si="352"/>
        <v>52.186740358483021</v>
      </c>
      <c r="Y780" s="314" t="str">
        <f t="shared" ca="1" si="370"/>
        <v/>
      </c>
      <c r="Z780" s="315" t="str">
        <f t="shared" ca="1" si="371"/>
        <v/>
      </c>
      <c r="AA780" s="316" t="str">
        <f t="shared" ca="1" si="372"/>
        <v/>
      </c>
      <c r="AC780" s="310" t="e">
        <f t="shared" ca="1" si="373"/>
        <v>#N/A</v>
      </c>
      <c r="AD780" s="323" t="e">
        <f t="shared" ca="1" si="374"/>
        <v>#N/A</v>
      </c>
      <c r="AE780" s="324" t="e">
        <f t="shared" ca="1" si="353"/>
        <v>#N/A</v>
      </c>
      <c r="AG780" s="306">
        <f t="shared" ca="1" si="375"/>
        <v>1.3166832182641208</v>
      </c>
      <c r="AH780" s="304">
        <f t="shared" ca="1" si="376"/>
        <v>-8.4828621910267241</v>
      </c>
    </row>
    <row r="781" spans="1:34" x14ac:dyDescent="0.2">
      <c r="A781" s="347">
        <f t="shared" ca="1" si="354"/>
        <v>1E-4</v>
      </c>
      <c r="B781" s="304">
        <f t="shared" ca="1" si="355"/>
        <v>41.400300000000286</v>
      </c>
      <c r="D781" s="306">
        <f t="shared" ca="1" si="356"/>
        <v>-0.39152452066155297</v>
      </c>
      <c r="E781" s="307">
        <f t="shared" ca="1" si="357"/>
        <v>-1.3361499732397082</v>
      </c>
      <c r="F781" s="304">
        <f t="shared" ca="1" si="358"/>
        <v>1.3923319292710814</v>
      </c>
      <c r="G781" s="306">
        <f t="shared" ca="1" si="359"/>
        <v>6.2338344686238196</v>
      </c>
      <c r="H781" s="307">
        <f t="shared" ca="1" si="360"/>
        <v>-134.92121100120195</v>
      </c>
      <c r="I781" s="304">
        <f t="shared" ca="1" si="361"/>
        <v>135.06514676337883</v>
      </c>
      <c r="J781" s="306">
        <f t="shared" ca="1" si="362"/>
        <v>568.62651553779426</v>
      </c>
      <c r="K781" s="307">
        <f t="shared" ca="1" si="363"/>
        <v>-3.2077646827003581</v>
      </c>
      <c r="L781" s="304">
        <f t="shared" ca="1" si="348"/>
        <v>568.63556336806175</v>
      </c>
      <c r="M781" s="306">
        <f t="shared" ca="1" si="364"/>
        <v>-1.5246256456122063</v>
      </c>
      <c r="N781" s="304">
        <f t="shared" ca="1" si="365"/>
        <v>-87.354614830987757</v>
      </c>
      <c r="P781" s="310">
        <f t="shared" ca="1" si="366"/>
        <v>23</v>
      </c>
      <c r="Q781" s="304">
        <f t="shared" ca="1" si="367"/>
        <v>0</v>
      </c>
      <c r="R781" s="306">
        <f t="shared" ca="1" si="368"/>
        <v>0</v>
      </c>
      <c r="S781" s="307">
        <f t="shared" ca="1" si="369"/>
        <v>6.1519999999999921</v>
      </c>
      <c r="T781" s="304">
        <f t="shared" ca="1" si="349"/>
        <v>60.351119999999923</v>
      </c>
      <c r="U781" s="311">
        <f t="shared" ca="1" si="350"/>
        <v>0</v>
      </c>
      <c r="V781" s="306">
        <f t="shared" ca="1" si="351"/>
        <v>1.2253930142084859</v>
      </c>
      <c r="W781" s="304">
        <f t="shared" ca="1" si="352"/>
        <v>52.186912516157399</v>
      </c>
      <c r="Y781" s="314" t="str">
        <f t="shared" ca="1" si="370"/>
        <v/>
      </c>
      <c r="Z781" s="315" t="str">
        <f t="shared" ca="1" si="371"/>
        <v/>
      </c>
      <c r="AA781" s="316" t="str">
        <f t="shared" ca="1" si="372"/>
        <v/>
      </c>
      <c r="AC781" s="310" t="e">
        <f t="shared" ca="1" si="373"/>
        <v>#N/A</v>
      </c>
      <c r="AD781" s="323" t="e">
        <f t="shared" ca="1" si="374"/>
        <v>#N/A</v>
      </c>
      <c r="AE781" s="324" t="e">
        <f t="shared" ca="1" si="353"/>
        <v>#N/A</v>
      </c>
      <c r="AG781" s="306">
        <f t="shared" ca="1" si="375"/>
        <v>1.3166553857701899</v>
      </c>
      <c r="AH781" s="304">
        <f t="shared" ca="1" si="376"/>
        <v>-8.4828901753060943</v>
      </c>
    </row>
    <row r="782" spans="1:34" x14ac:dyDescent="0.2">
      <c r="A782" s="347">
        <f t="shared" ca="1" si="354"/>
        <v>1E-4</v>
      </c>
      <c r="B782" s="304">
        <f t="shared" ca="1" si="355"/>
        <v>41.400400000000289</v>
      </c>
      <c r="D782" s="306">
        <f t="shared" ca="1" si="356"/>
        <v>-0.39152297156828769</v>
      </c>
      <c r="E782" s="307">
        <f t="shared" ca="1" si="357"/>
        <v>-1.3361218877946577</v>
      </c>
      <c r="F782" s="304">
        <f t="shared" ca="1" si="358"/>
        <v>1.3923045415100901</v>
      </c>
      <c r="G782" s="306">
        <f t="shared" ca="1" si="359"/>
        <v>6.2337953163266624</v>
      </c>
      <c r="H782" s="307">
        <f t="shared" ca="1" si="360"/>
        <v>-134.92134461339074</v>
      </c>
      <c r="I782" s="304">
        <f t="shared" ca="1" si="361"/>
        <v>135.06527842614179</v>
      </c>
      <c r="J782" s="306">
        <f t="shared" ca="1" si="362"/>
        <v>568.62651553779426</v>
      </c>
      <c r="K782" s="307">
        <f t="shared" ca="1" si="363"/>
        <v>-3.2212568104810879</v>
      </c>
      <c r="L782" s="304">
        <f t="shared" ca="1" si="348"/>
        <v>568.63563963938498</v>
      </c>
      <c r="M782" s="306">
        <f t="shared" ca="1" si="364"/>
        <v>-1.5246259808378706</v>
      </c>
      <c r="N782" s="304">
        <f t="shared" ca="1" si="365"/>
        <v>-87.35463403800351</v>
      </c>
      <c r="P782" s="310">
        <f t="shared" ca="1" si="366"/>
        <v>23</v>
      </c>
      <c r="Q782" s="304">
        <f t="shared" ca="1" si="367"/>
        <v>0</v>
      </c>
      <c r="R782" s="306">
        <f t="shared" ca="1" si="368"/>
        <v>0</v>
      </c>
      <c r="S782" s="307">
        <f t="shared" ca="1" si="369"/>
        <v>6.1519999999999921</v>
      </c>
      <c r="T782" s="304">
        <f t="shared" ca="1" si="349"/>
        <v>60.351119999999923</v>
      </c>
      <c r="U782" s="311">
        <f t="shared" ca="1" si="350"/>
        <v>0</v>
      </c>
      <c r="V782" s="306">
        <f t="shared" ca="1" si="351"/>
        <v>1.2253946675255567</v>
      </c>
      <c r="W782" s="304">
        <f t="shared" ca="1" si="352"/>
        <v>52.187084672219484</v>
      </c>
      <c r="Y782" s="314" t="str">
        <f t="shared" ca="1" si="370"/>
        <v/>
      </c>
      <c r="Z782" s="315" t="str">
        <f t="shared" ca="1" si="371"/>
        <v/>
      </c>
      <c r="AA782" s="316" t="str">
        <f t="shared" ca="1" si="372"/>
        <v/>
      </c>
      <c r="AC782" s="310" t="e">
        <f t="shared" ca="1" si="373"/>
        <v>#N/A</v>
      </c>
      <c r="AD782" s="323" t="e">
        <f t="shared" ca="1" si="374"/>
        <v>#N/A</v>
      </c>
      <c r="AE782" s="324" t="e">
        <f t="shared" ca="1" si="353"/>
        <v>#N/A</v>
      </c>
      <c r="AG782" s="306">
        <f t="shared" ca="1" si="375"/>
        <v>1.3166275535359908</v>
      </c>
      <c r="AH782" s="304">
        <f t="shared" ca="1" si="376"/>
        <v>-8.4829181593233844</v>
      </c>
    </row>
    <row r="783" spans="1:34" x14ac:dyDescent="0.2">
      <c r="A783" s="347">
        <f t="shared" ca="1" si="354"/>
        <v>1E-4</v>
      </c>
      <c r="B783" s="304">
        <f t="shared" ca="1" si="355"/>
        <v>41.400500000000292</v>
      </c>
      <c r="D783" s="306">
        <f t="shared" ca="1" si="356"/>
        <v>-0.3915214224675212</v>
      </c>
      <c r="E783" s="307">
        <f t="shared" ca="1" si="357"/>
        <v>-1.3360938026125702</v>
      </c>
      <c r="F783" s="304">
        <f t="shared" ca="1" si="358"/>
        <v>1.3922771540288625</v>
      </c>
      <c r="G783" s="306">
        <f t="shared" ca="1" si="359"/>
        <v>6.2337561641844159</v>
      </c>
      <c r="H783" s="307">
        <f t="shared" ca="1" si="360"/>
        <v>-134.92147822277101</v>
      </c>
      <c r="I783" s="304">
        <f t="shared" ca="1" si="361"/>
        <v>135.06541008612155</v>
      </c>
      <c r="J783" s="306">
        <f t="shared" ca="1" si="362"/>
        <v>568.62651553779426</v>
      </c>
      <c r="K783" s="307">
        <f t="shared" ca="1" si="363"/>
        <v>-3.2347489516228962</v>
      </c>
      <c r="L783" s="304">
        <f t="shared" ca="1" si="348"/>
        <v>568.63571623090411</v>
      </c>
      <c r="M783" s="306">
        <f t="shared" ca="1" si="364"/>
        <v>-1.5246263160607763</v>
      </c>
      <c r="N783" s="304">
        <f t="shared" ca="1" si="365"/>
        <v>-87.354653244861197</v>
      </c>
      <c r="P783" s="310">
        <f t="shared" ca="1" si="366"/>
        <v>23</v>
      </c>
      <c r="Q783" s="304">
        <f t="shared" ca="1" si="367"/>
        <v>0</v>
      </c>
      <c r="R783" s="306">
        <f t="shared" ca="1" si="368"/>
        <v>0</v>
      </c>
      <c r="S783" s="307">
        <f t="shared" ca="1" si="369"/>
        <v>6.1519999999999921</v>
      </c>
      <c r="T783" s="304">
        <f t="shared" ca="1" si="349"/>
        <v>60.351119999999923</v>
      </c>
      <c r="U783" s="311">
        <f t="shared" ca="1" si="350"/>
        <v>0</v>
      </c>
      <c r="V783" s="306">
        <f t="shared" ca="1" si="351"/>
        <v>1.2253963208464957</v>
      </c>
      <c r="W783" s="304">
        <f t="shared" ca="1" si="352"/>
        <v>52.187256826669284</v>
      </c>
      <c r="Y783" s="314" t="str">
        <f t="shared" ca="1" si="370"/>
        <v/>
      </c>
      <c r="Z783" s="315" t="str">
        <f t="shared" ca="1" si="371"/>
        <v/>
      </c>
      <c r="AA783" s="316" t="str">
        <f t="shared" ca="1" si="372"/>
        <v/>
      </c>
      <c r="AC783" s="310" t="e">
        <f t="shared" ca="1" si="373"/>
        <v>#N/A</v>
      </c>
      <c r="AD783" s="323" t="e">
        <f t="shared" ca="1" si="374"/>
        <v>#N/A</v>
      </c>
      <c r="AE783" s="324" t="e">
        <f t="shared" ca="1" si="353"/>
        <v>#N/A</v>
      </c>
      <c r="AG783" s="306">
        <f t="shared" ca="1" si="375"/>
        <v>1.3165997215615128</v>
      </c>
      <c r="AH783" s="304">
        <f t="shared" ca="1" si="376"/>
        <v>-8.4829461430785997</v>
      </c>
    </row>
    <row r="784" spans="1:34" x14ac:dyDescent="0.2">
      <c r="A784" s="347">
        <f t="shared" ca="1" si="354"/>
        <v>1E-4</v>
      </c>
      <c r="B784" s="304">
        <f t="shared" ca="1" si="355"/>
        <v>41.400600000000296</v>
      </c>
      <c r="D784" s="306">
        <f t="shared" ca="1" si="356"/>
        <v>-0.39151987335925004</v>
      </c>
      <c r="E784" s="307">
        <f t="shared" ca="1" si="357"/>
        <v>-1.3360657176934438</v>
      </c>
      <c r="F784" s="304">
        <f t="shared" ca="1" si="358"/>
        <v>1.3922497668273965</v>
      </c>
      <c r="G784" s="306">
        <f t="shared" ca="1" si="359"/>
        <v>6.2337170121970802</v>
      </c>
      <c r="H784" s="307">
        <f t="shared" ca="1" si="360"/>
        <v>-134.92161182934279</v>
      </c>
      <c r="I784" s="304">
        <f t="shared" ca="1" si="361"/>
        <v>135.06554174331811</v>
      </c>
      <c r="J784" s="306">
        <f t="shared" ca="1" si="362"/>
        <v>568.62651553779426</v>
      </c>
      <c r="K784" s="307">
        <f t="shared" ca="1" si="363"/>
        <v>-3.2482411061255019</v>
      </c>
      <c r="L784" s="304">
        <f t="shared" ca="1" si="348"/>
        <v>568.63579314262029</v>
      </c>
      <c r="M784" s="306">
        <f t="shared" ca="1" si="364"/>
        <v>-1.5246266512809228</v>
      </c>
      <c r="N784" s="304">
        <f t="shared" ca="1" si="365"/>
        <v>-87.354672451560802</v>
      </c>
      <c r="P784" s="310">
        <f t="shared" ca="1" si="366"/>
        <v>23</v>
      </c>
      <c r="Q784" s="304">
        <f t="shared" ca="1" si="367"/>
        <v>0</v>
      </c>
      <c r="R784" s="306">
        <f t="shared" ca="1" si="368"/>
        <v>0</v>
      </c>
      <c r="S784" s="307">
        <f t="shared" ca="1" si="369"/>
        <v>6.1519999999999921</v>
      </c>
      <c r="T784" s="304">
        <f t="shared" ca="1" si="349"/>
        <v>60.351119999999923</v>
      </c>
      <c r="U784" s="311">
        <f t="shared" ca="1" si="350"/>
        <v>0</v>
      </c>
      <c r="V784" s="306">
        <f t="shared" ca="1" si="351"/>
        <v>1.2253979741713035</v>
      </c>
      <c r="W784" s="304">
        <f t="shared" ca="1" si="352"/>
        <v>52.187428979506784</v>
      </c>
      <c r="Y784" s="314" t="str">
        <f t="shared" ca="1" si="370"/>
        <v/>
      </c>
      <c r="Z784" s="315" t="str">
        <f t="shared" ca="1" si="371"/>
        <v/>
      </c>
      <c r="AA784" s="316" t="str">
        <f t="shared" ca="1" si="372"/>
        <v/>
      </c>
      <c r="AC784" s="310" t="e">
        <f t="shared" ca="1" si="373"/>
        <v>#N/A</v>
      </c>
      <c r="AD784" s="323" t="e">
        <f t="shared" ca="1" si="374"/>
        <v>#N/A</v>
      </c>
      <c r="AE784" s="324" t="e">
        <f t="shared" ca="1" si="353"/>
        <v>#N/A</v>
      </c>
      <c r="AG784" s="306">
        <f t="shared" ca="1" si="375"/>
        <v>1.3165718898467613</v>
      </c>
      <c r="AH784" s="304">
        <f t="shared" ca="1" si="376"/>
        <v>-8.4829741265717402</v>
      </c>
    </row>
    <row r="785" spans="1:34" x14ac:dyDescent="0.2">
      <c r="A785" s="347">
        <f t="shared" ca="1" si="354"/>
        <v>1E-4</v>
      </c>
      <c r="B785" s="304">
        <f t="shared" ca="1" si="355"/>
        <v>41.400700000000299</v>
      </c>
      <c r="D785" s="306">
        <f t="shared" ca="1" si="356"/>
        <v>-0.3915183242434786</v>
      </c>
      <c r="E785" s="307">
        <f t="shared" ca="1" si="357"/>
        <v>-1.3360376330372823</v>
      </c>
      <c r="F785" s="304">
        <f t="shared" ca="1" si="358"/>
        <v>1.3922223799056979</v>
      </c>
      <c r="G785" s="306">
        <f t="shared" ca="1" si="359"/>
        <v>6.2336778603646561</v>
      </c>
      <c r="H785" s="307">
        <f t="shared" ca="1" si="360"/>
        <v>-134.92174543310611</v>
      </c>
      <c r="I785" s="304">
        <f t="shared" ca="1" si="361"/>
        <v>135.06567339773156</v>
      </c>
      <c r="J785" s="306">
        <f t="shared" ca="1" si="362"/>
        <v>568.62651553779426</v>
      </c>
      <c r="K785" s="307">
        <f t="shared" ca="1" si="363"/>
        <v>-3.2617332739886242</v>
      </c>
      <c r="L785" s="304">
        <f t="shared" ca="1" si="348"/>
        <v>568.63587037453408</v>
      </c>
      <c r="M785" s="306">
        <f t="shared" ca="1" si="364"/>
        <v>-1.5246269864983104</v>
      </c>
      <c r="N785" s="304">
        <f t="shared" ca="1" si="365"/>
        <v>-87.35469165810234</v>
      </c>
      <c r="P785" s="310">
        <f t="shared" ca="1" si="366"/>
        <v>23</v>
      </c>
      <c r="Q785" s="304">
        <f t="shared" ca="1" si="367"/>
        <v>0</v>
      </c>
      <c r="R785" s="306">
        <f t="shared" ca="1" si="368"/>
        <v>0</v>
      </c>
      <c r="S785" s="307">
        <f t="shared" ca="1" si="369"/>
        <v>6.1519999999999921</v>
      </c>
      <c r="T785" s="304">
        <f t="shared" ca="1" si="349"/>
        <v>60.351119999999923</v>
      </c>
      <c r="U785" s="311">
        <f t="shared" ca="1" si="350"/>
        <v>0</v>
      </c>
      <c r="V785" s="306">
        <f t="shared" ca="1" si="351"/>
        <v>1.2253996274999794</v>
      </c>
      <c r="W785" s="304">
        <f t="shared" ca="1" si="352"/>
        <v>52.187601130732027</v>
      </c>
      <c r="Y785" s="314" t="str">
        <f t="shared" ca="1" si="370"/>
        <v/>
      </c>
      <c r="Z785" s="315" t="str">
        <f t="shared" ca="1" si="371"/>
        <v/>
      </c>
      <c r="AA785" s="316" t="str">
        <f t="shared" ca="1" si="372"/>
        <v/>
      </c>
      <c r="AC785" s="310" t="e">
        <f t="shared" ca="1" si="373"/>
        <v>#N/A</v>
      </c>
      <c r="AD785" s="323" t="e">
        <f t="shared" ca="1" si="374"/>
        <v>#N/A</v>
      </c>
      <c r="AE785" s="324" t="e">
        <f t="shared" ca="1" si="353"/>
        <v>#N/A</v>
      </c>
      <c r="AG785" s="306">
        <f t="shared" ca="1" si="375"/>
        <v>1.3165440583917363</v>
      </c>
      <c r="AH785" s="304">
        <f t="shared" ca="1" si="376"/>
        <v>-8.4830021098028041</v>
      </c>
    </row>
    <row r="786" spans="1:34" x14ac:dyDescent="0.2">
      <c r="A786" s="347">
        <f t="shared" ca="1" si="354"/>
        <v>1E-4</v>
      </c>
      <c r="B786" s="304">
        <f t="shared" ca="1" si="355"/>
        <v>41.400800000000302</v>
      </c>
      <c r="D786" s="306">
        <f t="shared" ca="1" si="356"/>
        <v>-0.39151677512020561</v>
      </c>
      <c r="E786" s="307">
        <f t="shared" ca="1" si="357"/>
        <v>-1.3360095486440784</v>
      </c>
      <c r="F786" s="304">
        <f t="shared" ca="1" si="358"/>
        <v>1.3921949932637596</v>
      </c>
      <c r="G786" s="306">
        <f t="shared" ca="1" si="359"/>
        <v>6.2336387086871436</v>
      </c>
      <c r="H786" s="307">
        <f t="shared" ca="1" si="360"/>
        <v>-134.92187903406096</v>
      </c>
      <c r="I786" s="304">
        <f t="shared" ca="1" si="361"/>
        <v>135.06580504936184</v>
      </c>
      <c r="J786" s="306">
        <f t="shared" ca="1" si="362"/>
        <v>568.62651553779426</v>
      </c>
      <c r="K786" s="307">
        <f t="shared" ca="1" si="363"/>
        <v>-3.2752254552119826</v>
      </c>
      <c r="L786" s="304">
        <f t="shared" ca="1" si="348"/>
        <v>568.63594792664651</v>
      </c>
      <c r="M786" s="306">
        <f t="shared" ca="1" si="364"/>
        <v>-1.5246273217129394</v>
      </c>
      <c r="N786" s="304">
        <f t="shared" ca="1" si="365"/>
        <v>-87.354710864485796</v>
      </c>
      <c r="P786" s="310">
        <f t="shared" ca="1" si="366"/>
        <v>23</v>
      </c>
      <c r="Q786" s="304">
        <f t="shared" ca="1" si="367"/>
        <v>0</v>
      </c>
      <c r="R786" s="306">
        <f t="shared" ca="1" si="368"/>
        <v>0</v>
      </c>
      <c r="S786" s="307">
        <f t="shared" ca="1" si="369"/>
        <v>6.1519999999999921</v>
      </c>
      <c r="T786" s="304">
        <f t="shared" ca="1" si="349"/>
        <v>60.351119999999923</v>
      </c>
      <c r="U786" s="311">
        <f t="shared" ca="1" si="350"/>
        <v>0</v>
      </c>
      <c r="V786" s="306">
        <f t="shared" ca="1" si="351"/>
        <v>1.2254012808325234</v>
      </c>
      <c r="W786" s="304">
        <f t="shared" ca="1" si="352"/>
        <v>52.187773280344928</v>
      </c>
      <c r="Y786" s="314" t="str">
        <f t="shared" ca="1" si="370"/>
        <v/>
      </c>
      <c r="Z786" s="315" t="str">
        <f t="shared" ca="1" si="371"/>
        <v/>
      </c>
      <c r="AA786" s="316" t="str">
        <f t="shared" ca="1" si="372"/>
        <v/>
      </c>
      <c r="AC786" s="310" t="e">
        <f t="shared" ca="1" si="373"/>
        <v>#N/A</v>
      </c>
      <c r="AD786" s="323" t="e">
        <f t="shared" ca="1" si="374"/>
        <v>#N/A</v>
      </c>
      <c r="AE786" s="324" t="e">
        <f t="shared" ca="1" si="353"/>
        <v>#N/A</v>
      </c>
      <c r="AG786" s="306">
        <f t="shared" ca="1" si="375"/>
        <v>1.3165162271964324</v>
      </c>
      <c r="AH786" s="304">
        <f t="shared" ca="1" si="376"/>
        <v>-8.4830300927717968</v>
      </c>
    </row>
    <row r="787" spans="1:34" x14ac:dyDescent="0.2">
      <c r="A787" s="347">
        <f t="shared" ca="1" si="354"/>
        <v>1E-4</v>
      </c>
      <c r="B787" s="304">
        <f t="shared" ca="1" si="355"/>
        <v>41.400900000000306</v>
      </c>
      <c r="D787" s="306">
        <f t="shared" ca="1" si="356"/>
        <v>-0.39151522598942917</v>
      </c>
      <c r="E787" s="307">
        <f t="shared" ca="1" si="357"/>
        <v>-1.3359814645138446</v>
      </c>
      <c r="F787" s="304">
        <f t="shared" ca="1" si="358"/>
        <v>1.392167606901594</v>
      </c>
      <c r="G787" s="306">
        <f t="shared" ca="1" si="359"/>
        <v>6.2335995571645446</v>
      </c>
      <c r="H787" s="307">
        <f t="shared" ca="1" si="360"/>
        <v>-134.92201263220741</v>
      </c>
      <c r="I787" s="304">
        <f t="shared" ca="1" si="361"/>
        <v>135.06593669820907</v>
      </c>
      <c r="J787" s="306">
        <f t="shared" ca="1" si="362"/>
        <v>568.62651553779426</v>
      </c>
      <c r="K787" s="307">
        <f t="shared" ca="1" si="363"/>
        <v>-3.2887176497952959</v>
      </c>
      <c r="L787" s="304">
        <f t="shared" ca="1" si="348"/>
        <v>568.63602579895814</v>
      </c>
      <c r="M787" s="306">
        <f t="shared" ca="1" si="364"/>
        <v>-1.5246276569248094</v>
      </c>
      <c r="N787" s="304">
        <f t="shared" ca="1" si="365"/>
        <v>-87.354730070711199</v>
      </c>
      <c r="P787" s="310">
        <f t="shared" ca="1" si="366"/>
        <v>23</v>
      </c>
      <c r="Q787" s="304">
        <f t="shared" ca="1" si="367"/>
        <v>0</v>
      </c>
      <c r="R787" s="306">
        <f t="shared" ca="1" si="368"/>
        <v>0</v>
      </c>
      <c r="S787" s="307">
        <f t="shared" ca="1" si="369"/>
        <v>6.1519999999999921</v>
      </c>
      <c r="T787" s="304">
        <f t="shared" ca="1" si="349"/>
        <v>60.351119999999923</v>
      </c>
      <c r="U787" s="311">
        <f t="shared" ca="1" si="350"/>
        <v>0</v>
      </c>
      <c r="V787" s="306">
        <f t="shared" ca="1" si="351"/>
        <v>1.2254029341689359</v>
      </c>
      <c r="W787" s="304">
        <f t="shared" ca="1" si="352"/>
        <v>52.187945428345607</v>
      </c>
      <c r="Y787" s="314" t="str">
        <f t="shared" ca="1" si="370"/>
        <v/>
      </c>
      <c r="Z787" s="315" t="str">
        <f t="shared" ca="1" si="371"/>
        <v/>
      </c>
      <c r="AA787" s="316" t="str">
        <f t="shared" ca="1" si="372"/>
        <v/>
      </c>
      <c r="AC787" s="310" t="e">
        <f t="shared" ca="1" si="373"/>
        <v>#N/A</v>
      </c>
      <c r="AD787" s="323" t="e">
        <f t="shared" ca="1" si="374"/>
        <v>#N/A</v>
      </c>
      <c r="AE787" s="324" t="e">
        <f t="shared" ca="1" si="353"/>
        <v>#N/A</v>
      </c>
      <c r="AG787" s="306">
        <f t="shared" ca="1" si="375"/>
        <v>1.3164883962608602</v>
      </c>
      <c r="AH787" s="304">
        <f t="shared" ca="1" si="376"/>
        <v>-8.4830580754787057</v>
      </c>
    </row>
    <row r="788" spans="1:34" x14ac:dyDescent="0.2">
      <c r="A788" s="347">
        <f t="shared" ca="1" si="354"/>
        <v>1E-4</v>
      </c>
      <c r="B788" s="304">
        <f t="shared" ca="1" si="355"/>
        <v>41.401000000000309</v>
      </c>
      <c r="D788" s="306">
        <f t="shared" ca="1" si="356"/>
        <v>-0.3915136768511524</v>
      </c>
      <c r="E788" s="307">
        <f t="shared" ca="1" si="357"/>
        <v>-1.3359533806465649</v>
      </c>
      <c r="F788" s="304">
        <f t="shared" ca="1" si="358"/>
        <v>1.3921402208191869</v>
      </c>
      <c r="G788" s="306">
        <f t="shared" ca="1" si="359"/>
        <v>6.2335604057968599</v>
      </c>
      <c r="H788" s="307">
        <f t="shared" ca="1" si="360"/>
        <v>-134.92214622754548</v>
      </c>
      <c r="I788" s="304">
        <f t="shared" ca="1" si="361"/>
        <v>135.06606834427322</v>
      </c>
      <c r="J788" s="306">
        <f t="shared" ca="1" si="362"/>
        <v>568.62651553779426</v>
      </c>
      <c r="K788" s="307">
        <f t="shared" ca="1" si="363"/>
        <v>-3.3022098577382835</v>
      </c>
      <c r="L788" s="304">
        <f t="shared" ca="1" si="348"/>
        <v>568.63610399147001</v>
      </c>
      <c r="M788" s="306">
        <f t="shared" ca="1" si="364"/>
        <v>-1.5246279921339205</v>
      </c>
      <c r="N788" s="304">
        <f t="shared" ca="1" si="365"/>
        <v>-87.35474927677852</v>
      </c>
      <c r="P788" s="310">
        <f t="shared" ca="1" si="366"/>
        <v>23</v>
      </c>
      <c r="Q788" s="304">
        <f t="shared" ca="1" si="367"/>
        <v>0</v>
      </c>
      <c r="R788" s="306">
        <f t="shared" ca="1" si="368"/>
        <v>0</v>
      </c>
      <c r="S788" s="307">
        <f t="shared" ca="1" si="369"/>
        <v>6.1519999999999921</v>
      </c>
      <c r="T788" s="304">
        <f t="shared" ca="1" si="349"/>
        <v>60.351119999999923</v>
      </c>
      <c r="U788" s="311">
        <f t="shared" ca="1" si="350"/>
        <v>0</v>
      </c>
      <c r="V788" s="306">
        <f t="shared" ca="1" si="351"/>
        <v>1.2254045875092161</v>
      </c>
      <c r="W788" s="304">
        <f t="shared" ca="1" si="352"/>
        <v>52.188117574733994</v>
      </c>
      <c r="Y788" s="314" t="str">
        <f t="shared" ca="1" si="370"/>
        <v/>
      </c>
      <c r="Z788" s="315" t="str">
        <f t="shared" ca="1" si="371"/>
        <v/>
      </c>
      <c r="AA788" s="316" t="str">
        <f t="shared" ca="1" si="372"/>
        <v/>
      </c>
      <c r="AC788" s="310" t="e">
        <f t="shared" ca="1" si="373"/>
        <v>#N/A</v>
      </c>
      <c r="AD788" s="323" t="e">
        <f t="shared" ca="1" si="374"/>
        <v>#N/A</v>
      </c>
      <c r="AE788" s="324" t="e">
        <f t="shared" ca="1" si="353"/>
        <v>#N/A</v>
      </c>
      <c r="AG788" s="306">
        <f t="shared" ca="1" si="375"/>
        <v>1.3164605655850057</v>
      </c>
      <c r="AH788" s="304">
        <f t="shared" ca="1" si="376"/>
        <v>-8.4830860579235488</v>
      </c>
    </row>
    <row r="789" spans="1:34" x14ac:dyDescent="0.2">
      <c r="A789" s="347">
        <f t="shared" ca="1" si="354"/>
        <v>1E-4</v>
      </c>
      <c r="B789" s="304">
        <f t="shared" ca="1" si="355"/>
        <v>41.401100000000312</v>
      </c>
      <c r="D789" s="306">
        <f t="shared" ca="1" si="356"/>
        <v>-0.39151212770537547</v>
      </c>
      <c r="E789" s="307">
        <f t="shared" ca="1" si="357"/>
        <v>-1.3359252970422482</v>
      </c>
      <c r="F789" s="304">
        <f t="shared" ca="1" si="358"/>
        <v>1.3921128350165475</v>
      </c>
      <c r="G789" s="306">
        <f t="shared" ca="1" si="359"/>
        <v>6.2335212545840895</v>
      </c>
      <c r="H789" s="307">
        <f t="shared" ca="1" si="360"/>
        <v>-134.92227982007518</v>
      </c>
      <c r="I789" s="304">
        <f t="shared" ca="1" si="361"/>
        <v>135.06619998755431</v>
      </c>
      <c r="J789" s="306">
        <f t="shared" ca="1" si="362"/>
        <v>568.62651553779426</v>
      </c>
      <c r="K789" s="307">
        <f t="shared" ca="1" si="363"/>
        <v>-3.3157020790406646</v>
      </c>
      <c r="L789" s="304">
        <f t="shared" ca="1" si="348"/>
        <v>568.63618250418278</v>
      </c>
      <c r="M789" s="306">
        <f t="shared" ca="1" si="364"/>
        <v>-1.5246283273402728</v>
      </c>
      <c r="N789" s="304">
        <f t="shared" ca="1" si="365"/>
        <v>-87.354768482687774</v>
      </c>
      <c r="P789" s="310">
        <f t="shared" ca="1" si="366"/>
        <v>23</v>
      </c>
      <c r="Q789" s="304">
        <f t="shared" ca="1" si="367"/>
        <v>0</v>
      </c>
      <c r="R789" s="306">
        <f t="shared" ca="1" si="368"/>
        <v>0</v>
      </c>
      <c r="S789" s="307">
        <f t="shared" ca="1" si="369"/>
        <v>6.1519999999999921</v>
      </c>
      <c r="T789" s="304">
        <f t="shared" ca="1" si="349"/>
        <v>60.351119999999923</v>
      </c>
      <c r="U789" s="311">
        <f t="shared" ca="1" si="350"/>
        <v>0</v>
      </c>
      <c r="V789" s="306">
        <f t="shared" ca="1" si="351"/>
        <v>1.2254062408533648</v>
      </c>
      <c r="W789" s="304">
        <f t="shared" ca="1" si="352"/>
        <v>52.188289719510131</v>
      </c>
      <c r="Y789" s="314" t="str">
        <f t="shared" ca="1" si="370"/>
        <v/>
      </c>
      <c r="Z789" s="315" t="str">
        <f t="shared" ca="1" si="371"/>
        <v/>
      </c>
      <c r="AA789" s="316" t="str">
        <f t="shared" ca="1" si="372"/>
        <v/>
      </c>
      <c r="AC789" s="310" t="e">
        <f t="shared" ca="1" si="373"/>
        <v>#N/A</v>
      </c>
      <c r="AD789" s="323" t="e">
        <f t="shared" ca="1" si="374"/>
        <v>#N/A</v>
      </c>
      <c r="AE789" s="324" t="e">
        <f t="shared" ca="1" si="353"/>
        <v>#N/A</v>
      </c>
      <c r="AG789" s="306">
        <f t="shared" ca="1" si="375"/>
        <v>1.316432735168874</v>
      </c>
      <c r="AH789" s="304">
        <f t="shared" ca="1" si="376"/>
        <v>-8.483114040106317</v>
      </c>
    </row>
    <row r="790" spans="1:34" x14ac:dyDescent="0.2">
      <c r="A790" s="347">
        <f t="shared" ca="1" si="354"/>
        <v>1E-4</v>
      </c>
      <c r="B790" s="304">
        <f t="shared" ca="1" si="355"/>
        <v>41.401200000000316</v>
      </c>
      <c r="D790" s="306">
        <f t="shared" ca="1" si="356"/>
        <v>-0.39151057855209903</v>
      </c>
      <c r="E790" s="307">
        <f t="shared" ca="1" si="357"/>
        <v>-1.3358972137008873</v>
      </c>
      <c r="F790" s="304">
        <f t="shared" ca="1" si="358"/>
        <v>1.3920854494936701</v>
      </c>
      <c r="G790" s="306">
        <f t="shared" ca="1" si="359"/>
        <v>6.2334821035262342</v>
      </c>
      <c r="H790" s="307">
        <f t="shared" ca="1" si="360"/>
        <v>-134.92241340979655</v>
      </c>
      <c r="I790" s="304">
        <f t="shared" ca="1" si="361"/>
        <v>135.06633162805241</v>
      </c>
      <c r="J790" s="306">
        <f t="shared" ca="1" si="362"/>
        <v>568.62651553779426</v>
      </c>
      <c r="K790" s="307">
        <f t="shared" ca="1" si="363"/>
        <v>-3.3291943137021582</v>
      </c>
      <c r="L790" s="304">
        <f t="shared" ca="1" si="348"/>
        <v>568.63626133709738</v>
      </c>
      <c r="M790" s="306">
        <f t="shared" ca="1" si="364"/>
        <v>-1.5246286625438665</v>
      </c>
      <c r="N790" s="304">
        <f t="shared" ca="1" si="365"/>
        <v>-87.354787688438975</v>
      </c>
      <c r="P790" s="310">
        <f t="shared" ca="1" si="366"/>
        <v>23</v>
      </c>
      <c r="Q790" s="304">
        <f t="shared" ca="1" si="367"/>
        <v>0</v>
      </c>
      <c r="R790" s="306">
        <f t="shared" ca="1" si="368"/>
        <v>0</v>
      </c>
      <c r="S790" s="307">
        <f t="shared" ca="1" si="369"/>
        <v>6.1519999999999921</v>
      </c>
      <c r="T790" s="304">
        <f t="shared" ca="1" si="349"/>
        <v>60.351119999999923</v>
      </c>
      <c r="U790" s="311">
        <f t="shared" ca="1" si="350"/>
        <v>0</v>
      </c>
      <c r="V790" s="306">
        <f t="shared" ca="1" si="351"/>
        <v>1.2254078942013811</v>
      </c>
      <c r="W790" s="304">
        <f t="shared" ca="1" si="352"/>
        <v>52.188461862673975</v>
      </c>
      <c r="Y790" s="314" t="str">
        <f t="shared" ca="1" si="370"/>
        <v/>
      </c>
      <c r="Z790" s="315" t="str">
        <f t="shared" ca="1" si="371"/>
        <v/>
      </c>
      <c r="AA790" s="316" t="str">
        <f t="shared" ca="1" si="372"/>
        <v/>
      </c>
      <c r="AC790" s="310" t="e">
        <f t="shared" ca="1" si="373"/>
        <v>#N/A</v>
      </c>
      <c r="AD790" s="323" t="e">
        <f t="shared" ca="1" si="374"/>
        <v>#N/A</v>
      </c>
      <c r="AE790" s="324" t="e">
        <f t="shared" ca="1" si="353"/>
        <v>#N/A</v>
      </c>
      <c r="AG790" s="306">
        <f t="shared" ca="1" si="375"/>
        <v>1.3164049050124618</v>
      </c>
      <c r="AH790" s="304">
        <f t="shared" ca="1" si="376"/>
        <v>-8.4831420220270157</v>
      </c>
    </row>
    <row r="791" spans="1:34" x14ac:dyDescent="0.2">
      <c r="A791" s="347">
        <f t="shared" ca="1" si="354"/>
        <v>1E-4</v>
      </c>
      <c r="B791" s="304">
        <f t="shared" ca="1" si="355"/>
        <v>41.401300000000319</v>
      </c>
      <c r="D791" s="306">
        <f t="shared" ca="1" si="356"/>
        <v>-0.3915090293913196</v>
      </c>
      <c r="E791" s="307">
        <f t="shared" ca="1" si="357"/>
        <v>-1.3358691306224895</v>
      </c>
      <c r="F791" s="304">
        <f t="shared" ca="1" si="358"/>
        <v>1.3920580642505609</v>
      </c>
      <c r="G791" s="306">
        <f t="shared" ca="1" si="359"/>
        <v>6.2334429526232951</v>
      </c>
      <c r="H791" s="307">
        <f t="shared" ca="1" si="360"/>
        <v>-134.9225469967096</v>
      </c>
      <c r="I791" s="304">
        <f t="shared" ca="1" si="361"/>
        <v>135.06646326576748</v>
      </c>
      <c r="J791" s="306">
        <f t="shared" ca="1" si="362"/>
        <v>568.62651553779426</v>
      </c>
      <c r="K791" s="307">
        <f t="shared" ca="1" si="363"/>
        <v>-3.3426865617224837</v>
      </c>
      <c r="L791" s="304">
        <f t="shared" ca="1" si="348"/>
        <v>568.63634049021459</v>
      </c>
      <c r="M791" s="306">
        <f t="shared" ca="1" si="364"/>
        <v>-1.5246289977447014</v>
      </c>
      <c r="N791" s="304">
        <f t="shared" ca="1" si="365"/>
        <v>-87.354806894032095</v>
      </c>
      <c r="P791" s="310">
        <f t="shared" ca="1" si="366"/>
        <v>23</v>
      </c>
      <c r="Q791" s="304">
        <f t="shared" ca="1" si="367"/>
        <v>0</v>
      </c>
      <c r="R791" s="306">
        <f t="shared" ca="1" si="368"/>
        <v>0</v>
      </c>
      <c r="S791" s="307">
        <f t="shared" ca="1" si="369"/>
        <v>6.1519999999999921</v>
      </c>
      <c r="T791" s="304">
        <f t="shared" ca="1" si="349"/>
        <v>60.351119999999923</v>
      </c>
      <c r="U791" s="311">
        <f t="shared" ca="1" si="350"/>
        <v>0</v>
      </c>
      <c r="V791" s="306">
        <f t="shared" ca="1" si="351"/>
        <v>1.2254095475532663</v>
      </c>
      <c r="W791" s="304">
        <f t="shared" ca="1" si="352"/>
        <v>52.188634004225584</v>
      </c>
      <c r="Y791" s="314" t="str">
        <f t="shared" ca="1" si="370"/>
        <v/>
      </c>
      <c r="Z791" s="315" t="str">
        <f t="shared" ca="1" si="371"/>
        <v/>
      </c>
      <c r="AA791" s="316" t="str">
        <f t="shared" ca="1" si="372"/>
        <v/>
      </c>
      <c r="AC791" s="310" t="e">
        <f t="shared" ca="1" si="373"/>
        <v>#N/A</v>
      </c>
      <c r="AD791" s="323" t="e">
        <f t="shared" ca="1" si="374"/>
        <v>#N/A</v>
      </c>
      <c r="AE791" s="324" t="e">
        <f t="shared" ca="1" si="353"/>
        <v>#N/A</v>
      </c>
      <c r="AG791" s="306">
        <f t="shared" ca="1" si="375"/>
        <v>1.3163770751157777</v>
      </c>
      <c r="AH791" s="304">
        <f t="shared" ca="1" si="376"/>
        <v>-8.4831700036856379</v>
      </c>
    </row>
    <row r="792" spans="1:34" x14ac:dyDescent="0.2">
      <c r="A792" s="347">
        <f t="shared" ca="1" si="354"/>
        <v>1E-4</v>
      </c>
      <c r="B792" s="304">
        <f t="shared" ca="1" si="355"/>
        <v>41.401400000000322</v>
      </c>
      <c r="D792" s="306">
        <f t="shared" ca="1" si="356"/>
        <v>-0.39150748022304177</v>
      </c>
      <c r="E792" s="307">
        <f t="shared" ca="1" si="357"/>
        <v>-1.3358410478070475</v>
      </c>
      <c r="F792" s="304">
        <f t="shared" ca="1" si="358"/>
        <v>1.3920306792872152</v>
      </c>
      <c r="G792" s="306">
        <f t="shared" ca="1" si="359"/>
        <v>6.2334038018752729</v>
      </c>
      <c r="H792" s="307">
        <f t="shared" ca="1" si="360"/>
        <v>-134.92268058081439</v>
      </c>
      <c r="I792" s="304">
        <f t="shared" ca="1" si="361"/>
        <v>135.06659490069961</v>
      </c>
      <c r="J792" s="306">
        <f t="shared" ca="1" si="362"/>
        <v>568.62651553779426</v>
      </c>
      <c r="K792" s="307">
        <f t="shared" ca="1" si="363"/>
        <v>-3.3561788231013598</v>
      </c>
      <c r="L792" s="304">
        <f t="shared" ca="1" si="348"/>
        <v>568.63641996353522</v>
      </c>
      <c r="M792" s="306">
        <f t="shared" ca="1" si="364"/>
        <v>-1.5246293329427776</v>
      </c>
      <c r="N792" s="304">
        <f t="shared" ca="1" si="365"/>
        <v>-87.354826099467161</v>
      </c>
      <c r="P792" s="310">
        <f t="shared" ca="1" si="366"/>
        <v>23</v>
      </c>
      <c r="Q792" s="304">
        <f t="shared" ca="1" si="367"/>
        <v>0</v>
      </c>
      <c r="R792" s="306">
        <f t="shared" ca="1" si="368"/>
        <v>0</v>
      </c>
      <c r="S792" s="307">
        <f t="shared" ca="1" si="369"/>
        <v>6.1519999999999921</v>
      </c>
      <c r="T792" s="304">
        <f t="shared" ca="1" si="349"/>
        <v>60.351119999999923</v>
      </c>
      <c r="U792" s="311">
        <f t="shared" ca="1" si="350"/>
        <v>0</v>
      </c>
      <c r="V792" s="306">
        <f t="shared" ca="1" si="351"/>
        <v>1.2254112009090192</v>
      </c>
      <c r="W792" s="304">
        <f t="shared" ca="1" si="352"/>
        <v>52.188806144164957</v>
      </c>
      <c r="Y792" s="314" t="str">
        <f t="shared" ca="1" si="370"/>
        <v/>
      </c>
      <c r="Z792" s="315" t="str">
        <f t="shared" ca="1" si="371"/>
        <v/>
      </c>
      <c r="AA792" s="316" t="str">
        <f t="shared" ca="1" si="372"/>
        <v/>
      </c>
      <c r="AC792" s="310" t="e">
        <f t="shared" ca="1" si="373"/>
        <v>#N/A</v>
      </c>
      <c r="AD792" s="323" t="e">
        <f t="shared" ca="1" si="374"/>
        <v>#N/A</v>
      </c>
      <c r="AE792" s="324" t="e">
        <f t="shared" ca="1" si="353"/>
        <v>#N/A</v>
      </c>
      <c r="AG792" s="306">
        <f t="shared" ca="1" si="375"/>
        <v>1.3163492454788095</v>
      </c>
      <c r="AH792" s="304">
        <f t="shared" ca="1" si="376"/>
        <v>-8.4831979850821924</v>
      </c>
    </row>
    <row r="793" spans="1:34" x14ac:dyDescent="0.2">
      <c r="A793" s="347">
        <f t="shared" ca="1" si="354"/>
        <v>1E-4</v>
      </c>
      <c r="B793" s="304">
        <f t="shared" ca="1" si="355"/>
        <v>41.401500000000325</v>
      </c>
      <c r="D793" s="306">
        <f t="shared" ca="1" si="356"/>
        <v>-0.39150593104726422</v>
      </c>
      <c r="E793" s="307">
        <f t="shared" ca="1" si="357"/>
        <v>-1.3358129652545578</v>
      </c>
      <c r="F793" s="304">
        <f t="shared" ca="1" si="358"/>
        <v>1.3920032946036298</v>
      </c>
      <c r="G793" s="306">
        <f t="shared" ca="1" si="359"/>
        <v>6.2333646512821685</v>
      </c>
      <c r="H793" s="307">
        <f t="shared" ca="1" si="360"/>
        <v>-134.92281416211091</v>
      </c>
      <c r="I793" s="304">
        <f t="shared" ca="1" si="361"/>
        <v>135.06672653284883</v>
      </c>
      <c r="J793" s="306">
        <f t="shared" ca="1" si="362"/>
        <v>568.62651553779426</v>
      </c>
      <c r="K793" s="307">
        <f t="shared" ca="1" si="363"/>
        <v>-3.369671097838506</v>
      </c>
      <c r="L793" s="304">
        <f t="shared" ca="1" si="348"/>
        <v>568.63649975706005</v>
      </c>
      <c r="M793" s="306">
        <f t="shared" ca="1" si="364"/>
        <v>-1.5246296681380951</v>
      </c>
      <c r="N793" s="304">
        <f t="shared" ca="1" si="365"/>
        <v>-87.354845304744174</v>
      </c>
      <c r="P793" s="310">
        <f t="shared" ca="1" si="366"/>
        <v>23</v>
      </c>
      <c r="Q793" s="304">
        <f t="shared" ca="1" si="367"/>
        <v>0</v>
      </c>
      <c r="R793" s="306">
        <f t="shared" ca="1" si="368"/>
        <v>0</v>
      </c>
      <c r="S793" s="307">
        <f t="shared" ca="1" si="369"/>
        <v>6.1519999999999921</v>
      </c>
      <c r="T793" s="304">
        <f t="shared" ca="1" si="349"/>
        <v>60.351119999999923</v>
      </c>
      <c r="U793" s="311">
        <f t="shared" ca="1" si="350"/>
        <v>0</v>
      </c>
      <c r="V793" s="306">
        <f t="shared" ca="1" si="351"/>
        <v>1.2254128542686404</v>
      </c>
      <c r="W793" s="304">
        <f t="shared" ca="1" si="352"/>
        <v>52.188978282492116</v>
      </c>
      <c r="Y793" s="314" t="str">
        <f t="shared" ca="1" si="370"/>
        <v/>
      </c>
      <c r="Z793" s="315" t="str">
        <f t="shared" ca="1" si="371"/>
        <v/>
      </c>
      <c r="AA793" s="316" t="str">
        <f t="shared" ca="1" si="372"/>
        <v/>
      </c>
      <c r="AC793" s="310" t="e">
        <f t="shared" ca="1" si="373"/>
        <v>#N/A</v>
      </c>
      <c r="AD793" s="323" t="e">
        <f t="shared" ca="1" si="374"/>
        <v>#N/A</v>
      </c>
      <c r="AE793" s="324" t="e">
        <f t="shared" ca="1" si="353"/>
        <v>#N/A</v>
      </c>
      <c r="AG793" s="306">
        <f t="shared" ca="1" si="375"/>
        <v>1.3163214161015588</v>
      </c>
      <c r="AH793" s="304">
        <f t="shared" ca="1" si="376"/>
        <v>-8.4832259662166809</v>
      </c>
    </row>
    <row r="794" spans="1:34" x14ac:dyDescent="0.2">
      <c r="A794" s="347">
        <f t="shared" ca="1" si="354"/>
        <v>1E-4</v>
      </c>
      <c r="B794" s="304">
        <f t="shared" ca="1" si="355"/>
        <v>41.401600000000329</v>
      </c>
      <c r="D794" s="306">
        <f t="shared" ca="1" si="356"/>
        <v>-0.39150438186398773</v>
      </c>
      <c r="E794" s="307">
        <f t="shared" ca="1" si="357"/>
        <v>-1.3357848829650187</v>
      </c>
      <c r="F794" s="304">
        <f t="shared" ca="1" si="358"/>
        <v>1.3919759101998037</v>
      </c>
      <c r="G794" s="306">
        <f t="shared" ca="1" si="359"/>
        <v>6.2333255008439821</v>
      </c>
      <c r="H794" s="307">
        <f t="shared" ca="1" si="360"/>
        <v>-134.9229477405992</v>
      </c>
      <c r="I794" s="304">
        <f t="shared" ca="1" si="361"/>
        <v>135.06685816221511</v>
      </c>
      <c r="J794" s="306">
        <f t="shared" ca="1" si="362"/>
        <v>568.62651553779426</v>
      </c>
      <c r="K794" s="307">
        <f t="shared" ca="1" si="363"/>
        <v>-3.3831633859336416</v>
      </c>
      <c r="L794" s="304">
        <f t="shared" ca="1" si="348"/>
        <v>568.63657987079</v>
      </c>
      <c r="M794" s="306">
        <f t="shared" ca="1" si="364"/>
        <v>-1.5246300033306541</v>
      </c>
      <c r="N794" s="304">
        <f t="shared" ca="1" si="365"/>
        <v>-87.35486450986312</v>
      </c>
      <c r="P794" s="310">
        <f t="shared" ca="1" si="366"/>
        <v>23</v>
      </c>
      <c r="Q794" s="304">
        <f t="shared" ca="1" si="367"/>
        <v>0</v>
      </c>
      <c r="R794" s="306">
        <f t="shared" ca="1" si="368"/>
        <v>0</v>
      </c>
      <c r="S794" s="307">
        <f t="shared" ca="1" si="369"/>
        <v>6.1519999999999921</v>
      </c>
      <c r="T794" s="304">
        <f t="shared" ca="1" si="349"/>
        <v>60.351119999999923</v>
      </c>
      <c r="U794" s="311">
        <f t="shared" ca="1" si="350"/>
        <v>0</v>
      </c>
      <c r="V794" s="306">
        <f t="shared" ca="1" si="351"/>
        <v>1.2254145076321292</v>
      </c>
      <c r="W794" s="304">
        <f t="shared" ca="1" si="352"/>
        <v>52.189150419206989</v>
      </c>
      <c r="Y794" s="314" t="str">
        <f t="shared" ca="1" si="370"/>
        <v/>
      </c>
      <c r="Z794" s="315" t="str">
        <f t="shared" ca="1" si="371"/>
        <v/>
      </c>
      <c r="AA794" s="316" t="str">
        <f t="shared" ca="1" si="372"/>
        <v/>
      </c>
      <c r="AC794" s="310" t="e">
        <f t="shared" ca="1" si="373"/>
        <v>#N/A</v>
      </c>
      <c r="AD794" s="323" t="e">
        <f t="shared" ca="1" si="374"/>
        <v>#N/A</v>
      </c>
      <c r="AE794" s="324" t="e">
        <f t="shared" ca="1" si="353"/>
        <v>#N/A</v>
      </c>
      <c r="AG794" s="306">
        <f t="shared" ca="1" si="375"/>
        <v>1.3162935869840187</v>
      </c>
      <c r="AH794" s="304">
        <f t="shared" ca="1" si="376"/>
        <v>-8.4832539470891071</v>
      </c>
    </row>
    <row r="795" spans="1:34" x14ac:dyDescent="0.2">
      <c r="A795" s="347">
        <f t="shared" ca="1" si="354"/>
        <v>1E-4</v>
      </c>
      <c r="B795" s="304">
        <f t="shared" ca="1" si="355"/>
        <v>41.401700000000332</v>
      </c>
      <c r="D795" s="306">
        <f t="shared" ca="1" si="356"/>
        <v>-0.39150283267321007</v>
      </c>
      <c r="E795" s="307">
        <f t="shared" ca="1" si="357"/>
        <v>-1.3357568009384426</v>
      </c>
      <c r="F795" s="304">
        <f t="shared" ca="1" si="358"/>
        <v>1.3919485260757489</v>
      </c>
      <c r="G795" s="306">
        <f t="shared" ca="1" si="359"/>
        <v>6.2332863505607143</v>
      </c>
      <c r="H795" s="307">
        <f t="shared" ca="1" si="360"/>
        <v>-134.92308131627928</v>
      </c>
      <c r="I795" s="304">
        <f t="shared" ca="1" si="361"/>
        <v>135.06698978879851</v>
      </c>
      <c r="J795" s="306">
        <f t="shared" ca="1" si="362"/>
        <v>568.62651553779426</v>
      </c>
      <c r="K795" s="307">
        <f t="shared" ca="1" si="363"/>
        <v>-3.3966556873864855</v>
      </c>
      <c r="L795" s="304">
        <f t="shared" ca="1" si="348"/>
        <v>568.63666030472564</v>
      </c>
      <c r="M795" s="306">
        <f t="shared" ca="1" si="364"/>
        <v>-1.5246303385204545</v>
      </c>
      <c r="N795" s="304">
        <f t="shared" ca="1" si="365"/>
        <v>-87.354883714824027</v>
      </c>
      <c r="P795" s="310">
        <f t="shared" ca="1" si="366"/>
        <v>23</v>
      </c>
      <c r="Q795" s="304">
        <f t="shared" ca="1" si="367"/>
        <v>0</v>
      </c>
      <c r="R795" s="306">
        <f t="shared" ca="1" si="368"/>
        <v>0</v>
      </c>
      <c r="S795" s="307">
        <f t="shared" ca="1" si="369"/>
        <v>6.1519999999999921</v>
      </c>
      <c r="T795" s="304">
        <f t="shared" ca="1" si="349"/>
        <v>60.351119999999923</v>
      </c>
      <c r="U795" s="311">
        <f t="shared" ca="1" si="350"/>
        <v>0</v>
      </c>
      <c r="V795" s="306">
        <f t="shared" ca="1" si="351"/>
        <v>1.225416160999486</v>
      </c>
      <c r="W795" s="304">
        <f t="shared" ca="1" si="352"/>
        <v>52.189322554309634</v>
      </c>
      <c r="Y795" s="314" t="str">
        <f t="shared" ca="1" si="370"/>
        <v/>
      </c>
      <c r="Z795" s="315" t="str">
        <f t="shared" ca="1" si="371"/>
        <v/>
      </c>
      <c r="AA795" s="316" t="str">
        <f t="shared" ca="1" si="372"/>
        <v/>
      </c>
      <c r="AC795" s="310" t="e">
        <f t="shared" ca="1" si="373"/>
        <v>#N/A</v>
      </c>
      <c r="AD795" s="323" t="e">
        <f t="shared" ca="1" si="374"/>
        <v>#N/A</v>
      </c>
      <c r="AE795" s="324" t="e">
        <f t="shared" ca="1" si="353"/>
        <v>#N/A</v>
      </c>
      <c r="AG795" s="306">
        <f t="shared" ca="1" si="375"/>
        <v>1.3162657581262067</v>
      </c>
      <c r="AH795" s="304">
        <f t="shared" ca="1" si="376"/>
        <v>-8.4832819276994567</v>
      </c>
    </row>
    <row r="796" spans="1:34" x14ac:dyDescent="0.2">
      <c r="A796" s="347">
        <f t="shared" ca="1" si="354"/>
        <v>1E-4</v>
      </c>
      <c r="B796" s="304">
        <f t="shared" ca="1" si="355"/>
        <v>41.401800000000335</v>
      </c>
      <c r="D796" s="306">
        <f t="shared" ca="1" si="356"/>
        <v>-0.39150128347493424</v>
      </c>
      <c r="E796" s="307">
        <f t="shared" ca="1" si="357"/>
        <v>-1.3357287191748206</v>
      </c>
      <c r="F796" s="304">
        <f t="shared" ca="1" si="358"/>
        <v>1.3919211422314584</v>
      </c>
      <c r="G796" s="306">
        <f t="shared" ca="1" si="359"/>
        <v>6.2332472004323671</v>
      </c>
      <c r="H796" s="307">
        <f t="shared" ca="1" si="360"/>
        <v>-134.92321488915121</v>
      </c>
      <c r="I796" s="304">
        <f t="shared" ca="1" si="361"/>
        <v>135.06712141259905</v>
      </c>
      <c r="J796" s="306">
        <f t="shared" ca="1" si="362"/>
        <v>568.62651553779426</v>
      </c>
      <c r="K796" s="307">
        <f t="shared" ca="1" si="363"/>
        <v>-3.410148002196757</v>
      </c>
      <c r="L796" s="304">
        <f t="shared" ca="1" si="348"/>
        <v>568.6367410588681</v>
      </c>
      <c r="M796" s="306">
        <f t="shared" ca="1" si="364"/>
        <v>-1.5246306737074964</v>
      </c>
      <c r="N796" s="304">
        <f t="shared" ca="1" si="365"/>
        <v>-87.354902919626866</v>
      </c>
      <c r="P796" s="310">
        <f t="shared" ca="1" si="366"/>
        <v>23</v>
      </c>
      <c r="Q796" s="304">
        <f t="shared" ca="1" si="367"/>
        <v>0</v>
      </c>
      <c r="R796" s="306">
        <f t="shared" ca="1" si="368"/>
        <v>0</v>
      </c>
      <c r="S796" s="307">
        <f t="shared" ca="1" si="369"/>
        <v>6.1519999999999921</v>
      </c>
      <c r="T796" s="304">
        <f t="shared" ca="1" si="349"/>
        <v>60.351119999999923</v>
      </c>
      <c r="U796" s="311">
        <f t="shared" ca="1" si="350"/>
        <v>0</v>
      </c>
      <c r="V796" s="306">
        <f t="shared" ca="1" si="351"/>
        <v>1.2254178143707111</v>
      </c>
      <c r="W796" s="304">
        <f t="shared" ca="1" si="352"/>
        <v>52.189494687800071</v>
      </c>
      <c r="Y796" s="314" t="str">
        <f t="shared" ca="1" si="370"/>
        <v/>
      </c>
      <c r="Z796" s="315" t="str">
        <f t="shared" ca="1" si="371"/>
        <v/>
      </c>
      <c r="AA796" s="316" t="str">
        <f t="shared" ca="1" si="372"/>
        <v/>
      </c>
      <c r="AC796" s="310" t="e">
        <f t="shared" ca="1" si="373"/>
        <v>#N/A</v>
      </c>
      <c r="AD796" s="323" t="e">
        <f t="shared" ca="1" si="374"/>
        <v>#N/A</v>
      </c>
      <c r="AE796" s="324" t="e">
        <f t="shared" ca="1" si="353"/>
        <v>#N/A</v>
      </c>
      <c r="AG796" s="306">
        <f t="shared" ca="1" si="375"/>
        <v>1.3162379295281106</v>
      </c>
      <c r="AH796" s="304">
        <f t="shared" ca="1" si="376"/>
        <v>-8.4833099080477403</v>
      </c>
    </row>
    <row r="797" spans="1:34" x14ac:dyDescent="0.2">
      <c r="A797" s="347">
        <f t="shared" ca="1" si="354"/>
        <v>1E-4</v>
      </c>
      <c r="B797" s="304">
        <f t="shared" ca="1" si="355"/>
        <v>41.401900000000339</v>
      </c>
      <c r="D797" s="306">
        <f t="shared" ca="1" si="356"/>
        <v>-0.39149973426915907</v>
      </c>
      <c r="E797" s="307">
        <f t="shared" ca="1" si="357"/>
        <v>-1.3357006376741456</v>
      </c>
      <c r="F797" s="304">
        <f t="shared" ca="1" si="358"/>
        <v>1.3918937586669256</v>
      </c>
      <c r="G797" s="306">
        <f t="shared" ca="1" si="359"/>
        <v>6.2332080504589404</v>
      </c>
      <c r="H797" s="307">
        <f t="shared" ca="1" si="360"/>
        <v>-134.92334845921499</v>
      </c>
      <c r="I797" s="304">
        <f t="shared" ca="1" si="361"/>
        <v>135.06725303361677</v>
      </c>
      <c r="J797" s="306">
        <f t="shared" ca="1" si="362"/>
        <v>568.62651553779426</v>
      </c>
      <c r="K797" s="307">
        <f t="shared" ca="1" si="363"/>
        <v>-3.4236403303641754</v>
      </c>
      <c r="L797" s="304">
        <f t="shared" ca="1" si="348"/>
        <v>568.63682213321806</v>
      </c>
      <c r="M797" s="306">
        <f t="shared" ca="1" si="364"/>
        <v>-1.5246310088917796</v>
      </c>
      <c r="N797" s="304">
        <f t="shared" ca="1" si="365"/>
        <v>-87.354922124271653</v>
      </c>
      <c r="P797" s="310">
        <f t="shared" ca="1" si="366"/>
        <v>23</v>
      </c>
      <c r="Q797" s="304">
        <f t="shared" ca="1" si="367"/>
        <v>0</v>
      </c>
      <c r="R797" s="306">
        <f t="shared" ca="1" si="368"/>
        <v>0</v>
      </c>
      <c r="S797" s="307">
        <f t="shared" ca="1" si="369"/>
        <v>6.1519999999999921</v>
      </c>
      <c r="T797" s="304">
        <f t="shared" ca="1" si="349"/>
        <v>60.351119999999923</v>
      </c>
      <c r="U797" s="311">
        <f t="shared" ca="1" si="350"/>
        <v>0</v>
      </c>
      <c r="V797" s="306">
        <f t="shared" ca="1" si="351"/>
        <v>1.2254194677458046</v>
      </c>
      <c r="W797" s="304">
        <f t="shared" ca="1" si="352"/>
        <v>52.189666819678322</v>
      </c>
      <c r="Y797" s="314" t="str">
        <f t="shared" ca="1" si="370"/>
        <v/>
      </c>
      <c r="Z797" s="315" t="str">
        <f t="shared" ca="1" si="371"/>
        <v/>
      </c>
      <c r="AA797" s="316" t="str">
        <f t="shared" ca="1" si="372"/>
        <v/>
      </c>
      <c r="AC797" s="310" t="e">
        <f t="shared" ca="1" si="373"/>
        <v>#N/A</v>
      </c>
      <c r="AD797" s="323" t="e">
        <f t="shared" ca="1" si="374"/>
        <v>#N/A</v>
      </c>
      <c r="AE797" s="324" t="e">
        <f t="shared" ca="1" si="353"/>
        <v>#N/A</v>
      </c>
      <c r="AG797" s="306">
        <f t="shared" ca="1" si="375"/>
        <v>1.3162101011897231</v>
      </c>
      <c r="AH797" s="304">
        <f t="shared" ca="1" si="376"/>
        <v>-8.4833378881339634</v>
      </c>
    </row>
    <row r="798" spans="1:34" x14ac:dyDescent="0.2">
      <c r="A798" s="347">
        <f t="shared" ca="1" si="354"/>
        <v>1E-4</v>
      </c>
      <c r="B798" s="304">
        <f t="shared" ca="1" si="355"/>
        <v>41.402000000000342</v>
      </c>
      <c r="D798" s="306">
        <f t="shared" ca="1" si="356"/>
        <v>-0.39149818505588696</v>
      </c>
      <c r="E798" s="307">
        <f t="shared" ca="1" si="357"/>
        <v>-1.3356725564364194</v>
      </c>
      <c r="F798" s="304">
        <f t="shared" ca="1" si="358"/>
        <v>1.3918663753821532</v>
      </c>
      <c r="G798" s="306">
        <f t="shared" ca="1" si="359"/>
        <v>6.2331689006404352</v>
      </c>
      <c r="H798" s="307">
        <f t="shared" ca="1" si="360"/>
        <v>-134.92348202647062</v>
      </c>
      <c r="I798" s="304">
        <f t="shared" ca="1" si="361"/>
        <v>135.06738465185165</v>
      </c>
      <c r="J798" s="306">
        <f t="shared" ca="1" si="362"/>
        <v>568.62651553779426</v>
      </c>
      <c r="K798" s="307">
        <f t="shared" ca="1" si="363"/>
        <v>-3.4371326718884596</v>
      </c>
      <c r="L798" s="304">
        <f t="shared" ca="1" si="348"/>
        <v>568.63690352777621</v>
      </c>
      <c r="M798" s="306">
        <f t="shared" ca="1" si="364"/>
        <v>-1.5246313440733044</v>
      </c>
      <c r="N798" s="304">
        <f t="shared" ca="1" si="365"/>
        <v>-87.3549413287584</v>
      </c>
      <c r="P798" s="310">
        <f t="shared" ca="1" si="366"/>
        <v>23</v>
      </c>
      <c r="Q798" s="304">
        <f t="shared" ca="1" si="367"/>
        <v>0</v>
      </c>
      <c r="R798" s="306">
        <f t="shared" ca="1" si="368"/>
        <v>0</v>
      </c>
      <c r="S798" s="307">
        <f t="shared" ca="1" si="369"/>
        <v>6.1519999999999921</v>
      </c>
      <c r="T798" s="304">
        <f t="shared" ca="1" si="349"/>
        <v>60.351119999999923</v>
      </c>
      <c r="U798" s="311">
        <f t="shared" ca="1" si="350"/>
        <v>0</v>
      </c>
      <c r="V798" s="306">
        <f t="shared" ca="1" si="351"/>
        <v>1.2254211211247656</v>
      </c>
      <c r="W798" s="304">
        <f t="shared" ca="1" si="352"/>
        <v>52.189838949944324</v>
      </c>
      <c r="Y798" s="314" t="str">
        <f t="shared" ca="1" si="370"/>
        <v/>
      </c>
      <c r="Z798" s="315" t="str">
        <f t="shared" ca="1" si="371"/>
        <v/>
      </c>
      <c r="AA798" s="316" t="str">
        <f t="shared" ca="1" si="372"/>
        <v/>
      </c>
      <c r="AC798" s="310" t="e">
        <f t="shared" ca="1" si="373"/>
        <v>#N/A</v>
      </c>
      <c r="AD798" s="323" t="e">
        <f t="shared" ca="1" si="374"/>
        <v>#N/A</v>
      </c>
      <c r="AE798" s="324" t="e">
        <f t="shared" ca="1" si="353"/>
        <v>#N/A</v>
      </c>
      <c r="AG798" s="306">
        <f t="shared" ca="1" si="375"/>
        <v>1.316182273111048</v>
      </c>
      <c r="AH798" s="304">
        <f t="shared" ca="1" si="376"/>
        <v>-8.4833658679581259</v>
      </c>
    </row>
    <row r="799" spans="1:34" x14ac:dyDescent="0.2">
      <c r="A799" s="347">
        <f t="shared" ca="1" si="354"/>
        <v>1E-4</v>
      </c>
      <c r="B799" s="304">
        <f t="shared" ca="1" si="355"/>
        <v>41.402100000000345</v>
      </c>
      <c r="D799" s="306">
        <f t="shared" ca="1" si="356"/>
        <v>-0.39149663583511612</v>
      </c>
      <c r="E799" s="307">
        <f t="shared" ca="1" si="357"/>
        <v>-1.335644475461649</v>
      </c>
      <c r="F799" s="304">
        <f t="shared" ca="1" si="358"/>
        <v>1.3918389923771488</v>
      </c>
      <c r="G799" s="306">
        <f t="shared" ca="1" si="359"/>
        <v>6.2331297509768513</v>
      </c>
      <c r="H799" s="307">
        <f t="shared" ca="1" si="360"/>
        <v>-134.92361559091816</v>
      </c>
      <c r="I799" s="304">
        <f t="shared" ca="1" si="361"/>
        <v>135.06751626730377</v>
      </c>
      <c r="J799" s="306">
        <f t="shared" ca="1" si="362"/>
        <v>568.62651553779426</v>
      </c>
      <c r="K799" s="307">
        <f t="shared" ca="1" si="363"/>
        <v>-3.450625026769329</v>
      </c>
      <c r="L799" s="304">
        <f t="shared" ca="1" si="348"/>
        <v>568.63698524254357</v>
      </c>
      <c r="M799" s="306">
        <f t="shared" ca="1" si="364"/>
        <v>-1.5246316792520709</v>
      </c>
      <c r="N799" s="304">
        <f t="shared" ca="1" si="365"/>
        <v>-87.354960533087109</v>
      </c>
      <c r="P799" s="310">
        <f t="shared" ca="1" si="366"/>
        <v>23</v>
      </c>
      <c r="Q799" s="304">
        <f t="shared" ca="1" si="367"/>
        <v>0</v>
      </c>
      <c r="R799" s="306">
        <f t="shared" ca="1" si="368"/>
        <v>0</v>
      </c>
      <c r="S799" s="307">
        <f t="shared" ca="1" si="369"/>
        <v>6.1519999999999921</v>
      </c>
      <c r="T799" s="304">
        <f t="shared" ca="1" si="349"/>
        <v>60.351119999999923</v>
      </c>
      <c r="U799" s="311">
        <f t="shared" ca="1" si="350"/>
        <v>0</v>
      </c>
      <c r="V799" s="306">
        <f t="shared" ca="1" si="351"/>
        <v>1.2254227745075941</v>
      </c>
      <c r="W799" s="304">
        <f t="shared" ca="1" si="352"/>
        <v>52.19001107859809</v>
      </c>
      <c r="Y799" s="314" t="str">
        <f t="shared" ca="1" si="370"/>
        <v/>
      </c>
      <c r="Z799" s="315" t="str">
        <f t="shared" ca="1" si="371"/>
        <v/>
      </c>
      <c r="AA799" s="316" t="str">
        <f t="shared" ca="1" si="372"/>
        <v/>
      </c>
      <c r="AC799" s="310" t="e">
        <f t="shared" ca="1" si="373"/>
        <v>#N/A</v>
      </c>
      <c r="AD799" s="323" t="e">
        <f t="shared" ca="1" si="374"/>
        <v>#N/A</v>
      </c>
      <c r="AE799" s="324" t="e">
        <f t="shared" ca="1" si="353"/>
        <v>#N/A</v>
      </c>
      <c r="AG799" s="306">
        <f t="shared" ca="1" si="375"/>
        <v>1.3161544452920921</v>
      </c>
      <c r="AH799" s="304">
        <f t="shared" ca="1" si="376"/>
        <v>-8.4833938475202189</v>
      </c>
    </row>
    <row r="800" spans="1:34" x14ac:dyDescent="0.2">
      <c r="A800" s="347">
        <f t="shared" ca="1" si="354"/>
        <v>1E-4</v>
      </c>
      <c r="B800" s="304">
        <f t="shared" ca="1" si="355"/>
        <v>41.402200000000349</v>
      </c>
      <c r="D800" s="306">
        <f t="shared" ca="1" si="356"/>
        <v>-0.39149508660684529</v>
      </c>
      <c r="E800" s="307">
        <f t="shared" ca="1" si="357"/>
        <v>-1.335616394749831</v>
      </c>
      <c r="F800" s="304">
        <f t="shared" ca="1" si="358"/>
        <v>1.3918116096519089</v>
      </c>
      <c r="G800" s="306">
        <f t="shared" ca="1" si="359"/>
        <v>6.2330906014681906</v>
      </c>
      <c r="H800" s="307">
        <f t="shared" ca="1" si="360"/>
        <v>-134.92374915255763</v>
      </c>
      <c r="I800" s="304">
        <f t="shared" ca="1" si="361"/>
        <v>135.06764787997312</v>
      </c>
      <c r="J800" s="306">
        <f t="shared" ca="1" si="362"/>
        <v>568.62651553779426</v>
      </c>
      <c r="K800" s="307">
        <f t="shared" ca="1" si="363"/>
        <v>-3.464117395006503</v>
      </c>
      <c r="L800" s="304">
        <f t="shared" ca="1" si="348"/>
        <v>568.63706727752083</v>
      </c>
      <c r="M800" s="306">
        <f t="shared" ca="1" si="364"/>
        <v>-1.5246320144280787</v>
      </c>
      <c r="N800" s="304">
        <f t="shared" ca="1" si="365"/>
        <v>-87.35497973725775</v>
      </c>
      <c r="P800" s="310">
        <f t="shared" ca="1" si="366"/>
        <v>23</v>
      </c>
      <c r="Q800" s="304">
        <f t="shared" ca="1" si="367"/>
        <v>0</v>
      </c>
      <c r="R800" s="306">
        <f t="shared" ca="1" si="368"/>
        <v>0</v>
      </c>
      <c r="S800" s="307">
        <f t="shared" ca="1" si="369"/>
        <v>6.1519999999999921</v>
      </c>
      <c r="T800" s="304">
        <f t="shared" ca="1" si="349"/>
        <v>60.351119999999923</v>
      </c>
      <c r="U800" s="311">
        <f t="shared" ca="1" si="350"/>
        <v>0</v>
      </c>
      <c r="V800" s="306">
        <f t="shared" ca="1" si="351"/>
        <v>1.2254244278942912</v>
      </c>
      <c r="W800" s="304">
        <f t="shared" ca="1" si="352"/>
        <v>52.190183205639691</v>
      </c>
      <c r="Y800" s="314" t="str">
        <f t="shared" ca="1" si="370"/>
        <v/>
      </c>
      <c r="Z800" s="315" t="str">
        <f t="shared" ca="1" si="371"/>
        <v/>
      </c>
      <c r="AA800" s="316" t="str">
        <f t="shared" ca="1" si="372"/>
        <v/>
      </c>
      <c r="AC800" s="310" t="e">
        <f t="shared" ca="1" si="373"/>
        <v>#N/A</v>
      </c>
      <c r="AD800" s="323" t="e">
        <f t="shared" ca="1" si="374"/>
        <v>#N/A</v>
      </c>
      <c r="AE800" s="324" t="e">
        <f t="shared" ca="1" si="353"/>
        <v>#N/A</v>
      </c>
      <c r="AG800" s="306">
        <f t="shared" ca="1" si="375"/>
        <v>1.3161266177328539</v>
      </c>
      <c r="AH800" s="304">
        <f t="shared" ca="1" si="376"/>
        <v>-8.4834218268202459</v>
      </c>
    </row>
    <row r="801" spans="1:34" x14ac:dyDescent="0.2">
      <c r="A801" s="347">
        <f t="shared" ca="1" si="354"/>
        <v>1E-4</v>
      </c>
      <c r="B801" s="304">
        <f t="shared" ca="1" si="355"/>
        <v>41.402300000000352</v>
      </c>
      <c r="D801" s="306">
        <f t="shared" ca="1" si="356"/>
        <v>-0.39149353737107917</v>
      </c>
      <c r="E801" s="307">
        <f t="shared" ca="1" si="357"/>
        <v>-1.3355883143009564</v>
      </c>
      <c r="F801" s="304">
        <f t="shared" ca="1" si="358"/>
        <v>1.3917842272064269</v>
      </c>
      <c r="G801" s="306">
        <f t="shared" ca="1" si="359"/>
        <v>6.2330514521144531</v>
      </c>
      <c r="H801" s="307">
        <f t="shared" ca="1" si="360"/>
        <v>-134.92388271138907</v>
      </c>
      <c r="I801" s="304">
        <f t="shared" ca="1" si="361"/>
        <v>135.06777948985976</v>
      </c>
      <c r="J801" s="306">
        <f t="shared" ca="1" si="362"/>
        <v>568.62651553779426</v>
      </c>
      <c r="K801" s="307">
        <f t="shared" ca="1" si="363"/>
        <v>-3.4776097765997003</v>
      </c>
      <c r="L801" s="304">
        <f t="shared" ca="1" si="348"/>
        <v>568.63714963270877</v>
      </c>
      <c r="M801" s="306">
        <f t="shared" ca="1" si="364"/>
        <v>-1.5246323496013283</v>
      </c>
      <c r="N801" s="304">
        <f t="shared" ca="1" si="365"/>
        <v>-87.354998941270352</v>
      </c>
      <c r="P801" s="310">
        <f t="shared" ca="1" si="366"/>
        <v>23</v>
      </c>
      <c r="Q801" s="304">
        <f t="shared" ca="1" si="367"/>
        <v>0</v>
      </c>
      <c r="R801" s="306">
        <f t="shared" ca="1" si="368"/>
        <v>0</v>
      </c>
      <c r="S801" s="307">
        <f t="shared" ca="1" si="369"/>
        <v>6.1519999999999921</v>
      </c>
      <c r="T801" s="304">
        <f t="shared" ca="1" si="349"/>
        <v>60.351119999999923</v>
      </c>
      <c r="U801" s="311">
        <f t="shared" ca="1" si="350"/>
        <v>0</v>
      </c>
      <c r="V801" s="306">
        <f t="shared" ca="1" si="351"/>
        <v>1.2254260812848556</v>
      </c>
      <c r="W801" s="304">
        <f t="shared" ca="1" si="352"/>
        <v>52.190355331069071</v>
      </c>
      <c r="Y801" s="314" t="str">
        <f t="shared" ca="1" si="370"/>
        <v/>
      </c>
      <c r="Z801" s="315" t="str">
        <f t="shared" ca="1" si="371"/>
        <v/>
      </c>
      <c r="AA801" s="316" t="str">
        <f t="shared" ca="1" si="372"/>
        <v/>
      </c>
      <c r="AC801" s="310" t="e">
        <f t="shared" ca="1" si="373"/>
        <v>#N/A</v>
      </c>
      <c r="AD801" s="323" t="e">
        <f t="shared" ca="1" si="374"/>
        <v>#N/A</v>
      </c>
      <c r="AE801" s="324" t="e">
        <f t="shared" ca="1" si="353"/>
        <v>#N/A</v>
      </c>
      <c r="AG801" s="306">
        <f t="shared" ca="1" si="375"/>
        <v>1.3160987904333208</v>
      </c>
      <c r="AH801" s="304">
        <f t="shared" ca="1" si="376"/>
        <v>-8.4834498058582177</v>
      </c>
    </row>
    <row r="802" spans="1:34" x14ac:dyDescent="0.2">
      <c r="A802" s="347">
        <f t="shared" ca="1" si="354"/>
        <v>1E-4</v>
      </c>
      <c r="B802" s="304">
        <f t="shared" ca="1" si="355"/>
        <v>41.402400000000355</v>
      </c>
      <c r="D802" s="306">
        <f t="shared" ca="1" si="356"/>
        <v>-0.39149198812781416</v>
      </c>
      <c r="E802" s="307">
        <f t="shared" ca="1" si="357"/>
        <v>-1.3355602341150323</v>
      </c>
      <c r="F802" s="304">
        <f t="shared" ca="1" si="358"/>
        <v>1.3917568450407092</v>
      </c>
      <c r="G802" s="306">
        <f t="shared" ca="1" si="359"/>
        <v>6.2330123029156406</v>
      </c>
      <c r="H802" s="307">
        <f t="shared" ca="1" si="360"/>
        <v>-134.92401626741247</v>
      </c>
      <c r="I802" s="304">
        <f t="shared" ca="1" si="361"/>
        <v>135.06791109696368</v>
      </c>
      <c r="J802" s="306">
        <f t="shared" ca="1" si="362"/>
        <v>568.62651553779426</v>
      </c>
      <c r="K802" s="307">
        <f t="shared" ca="1" si="363"/>
        <v>-3.4911021715486403</v>
      </c>
      <c r="L802" s="304">
        <f t="shared" ca="1" si="348"/>
        <v>568.63723230810831</v>
      </c>
      <c r="M802" s="306">
        <f t="shared" ca="1" si="364"/>
        <v>-1.5246326847718195</v>
      </c>
      <c r="N802" s="304">
        <f t="shared" ca="1" si="365"/>
        <v>-87.355018145124916</v>
      </c>
      <c r="P802" s="310">
        <f t="shared" ca="1" si="366"/>
        <v>23</v>
      </c>
      <c r="Q802" s="304">
        <f t="shared" ca="1" si="367"/>
        <v>0</v>
      </c>
      <c r="R802" s="306">
        <f t="shared" ca="1" si="368"/>
        <v>0</v>
      </c>
      <c r="S802" s="307">
        <f t="shared" ca="1" si="369"/>
        <v>6.1519999999999921</v>
      </c>
      <c r="T802" s="304">
        <f t="shared" ca="1" si="349"/>
        <v>60.351119999999923</v>
      </c>
      <c r="U802" s="311">
        <f t="shared" ca="1" si="350"/>
        <v>0</v>
      </c>
      <c r="V802" s="306">
        <f t="shared" ca="1" si="351"/>
        <v>1.2254277346792881</v>
      </c>
      <c r="W802" s="304">
        <f t="shared" ca="1" si="352"/>
        <v>52.190527454886265</v>
      </c>
      <c r="Y802" s="314" t="str">
        <f t="shared" ca="1" si="370"/>
        <v/>
      </c>
      <c r="Z802" s="315" t="str">
        <f t="shared" ca="1" si="371"/>
        <v/>
      </c>
      <c r="AA802" s="316" t="str">
        <f t="shared" ca="1" si="372"/>
        <v/>
      </c>
      <c r="AC802" s="310" t="e">
        <f t="shared" ca="1" si="373"/>
        <v>#N/A</v>
      </c>
      <c r="AD802" s="323" t="e">
        <f t="shared" ca="1" si="374"/>
        <v>#N/A</v>
      </c>
      <c r="AE802" s="324" t="e">
        <f t="shared" ca="1" si="353"/>
        <v>#N/A</v>
      </c>
      <c r="AG802" s="306">
        <f t="shared" ca="1" si="375"/>
        <v>1.3160709633935017</v>
      </c>
      <c r="AH802" s="304">
        <f t="shared" ca="1" si="376"/>
        <v>-8.4834777846341254</v>
      </c>
    </row>
    <row r="803" spans="1:34" x14ac:dyDescent="0.2">
      <c r="A803" s="347">
        <f t="shared" ca="1" si="354"/>
        <v>1E-4</v>
      </c>
      <c r="B803" s="304">
        <f t="shared" ca="1" si="355"/>
        <v>41.402500000000359</v>
      </c>
      <c r="D803" s="306">
        <f t="shared" ca="1" si="356"/>
        <v>-0.39149043887705282</v>
      </c>
      <c r="E803" s="307">
        <f t="shared" ca="1" si="357"/>
        <v>-1.3355321541920571</v>
      </c>
      <c r="F803" s="304">
        <f t="shared" ca="1" si="358"/>
        <v>1.3917294631547554</v>
      </c>
      <c r="G803" s="306">
        <f t="shared" ca="1" si="359"/>
        <v>6.232973153871753</v>
      </c>
      <c r="H803" s="307">
        <f t="shared" ca="1" si="360"/>
        <v>-134.92414982062789</v>
      </c>
      <c r="I803" s="304">
        <f t="shared" ca="1" si="361"/>
        <v>135.06804270128492</v>
      </c>
      <c r="J803" s="306">
        <f t="shared" ca="1" si="362"/>
        <v>568.62651553779426</v>
      </c>
      <c r="K803" s="307">
        <f t="shared" ca="1" si="363"/>
        <v>-3.5045945798530425</v>
      </c>
      <c r="L803" s="304">
        <f t="shared" ca="1" si="348"/>
        <v>568.63731530372024</v>
      </c>
      <c r="M803" s="306">
        <f t="shared" ca="1" si="364"/>
        <v>-1.5246330199395524</v>
      </c>
      <c r="N803" s="304">
        <f t="shared" ca="1" si="365"/>
        <v>-87.35503734882144</v>
      </c>
      <c r="P803" s="310">
        <f t="shared" ca="1" si="366"/>
        <v>23</v>
      </c>
      <c r="Q803" s="304">
        <f t="shared" ca="1" si="367"/>
        <v>0</v>
      </c>
      <c r="R803" s="306">
        <f t="shared" ca="1" si="368"/>
        <v>0</v>
      </c>
      <c r="S803" s="307">
        <f t="shared" ca="1" si="369"/>
        <v>6.1519999999999921</v>
      </c>
      <c r="T803" s="304">
        <f t="shared" ca="1" si="349"/>
        <v>60.351119999999923</v>
      </c>
      <c r="U803" s="311">
        <f t="shared" ca="1" si="350"/>
        <v>0</v>
      </c>
      <c r="V803" s="306">
        <f t="shared" ca="1" si="351"/>
        <v>1.2254293880775884</v>
      </c>
      <c r="W803" s="304">
        <f t="shared" ca="1" si="352"/>
        <v>52.190699577091259</v>
      </c>
      <c r="Y803" s="314" t="str">
        <f t="shared" ca="1" si="370"/>
        <v/>
      </c>
      <c r="Z803" s="315" t="str">
        <f t="shared" ca="1" si="371"/>
        <v/>
      </c>
      <c r="AA803" s="316" t="str">
        <f t="shared" ca="1" si="372"/>
        <v/>
      </c>
      <c r="AC803" s="310" t="e">
        <f t="shared" ca="1" si="373"/>
        <v>#N/A</v>
      </c>
      <c r="AD803" s="323" t="e">
        <f t="shared" ca="1" si="374"/>
        <v>#N/A</v>
      </c>
      <c r="AE803" s="324" t="e">
        <f t="shared" ca="1" si="353"/>
        <v>#N/A</v>
      </c>
      <c r="AG803" s="306">
        <f t="shared" ca="1" si="375"/>
        <v>1.3160431366133931</v>
      </c>
      <c r="AH803" s="304">
        <f t="shared" ca="1" si="376"/>
        <v>-8.4835057631479724</v>
      </c>
    </row>
    <row r="804" spans="1:34" x14ac:dyDescent="0.2">
      <c r="A804" s="347">
        <f t="shared" ca="1" si="354"/>
        <v>1E-4</v>
      </c>
      <c r="B804" s="304">
        <f t="shared" ca="1" si="355"/>
        <v>41.402600000000362</v>
      </c>
      <c r="D804" s="306">
        <f t="shared" ca="1" si="356"/>
        <v>-0.39148888961879375</v>
      </c>
      <c r="E804" s="307">
        <f t="shared" ca="1" si="357"/>
        <v>-1.3355040745320288</v>
      </c>
      <c r="F804" s="304">
        <f t="shared" ca="1" si="358"/>
        <v>1.3917020815485643</v>
      </c>
      <c r="G804" s="306">
        <f t="shared" ca="1" si="359"/>
        <v>6.2329340049827913</v>
      </c>
      <c r="H804" s="307">
        <f t="shared" ca="1" si="360"/>
        <v>-134.92428337103533</v>
      </c>
      <c r="I804" s="304">
        <f t="shared" ca="1" si="361"/>
        <v>135.06817430282351</v>
      </c>
      <c r="J804" s="306">
        <f t="shared" ca="1" si="362"/>
        <v>568.62651553779426</v>
      </c>
      <c r="K804" s="307">
        <f t="shared" ca="1" si="363"/>
        <v>-3.5180870015126255</v>
      </c>
      <c r="L804" s="304">
        <f t="shared" ca="1" si="348"/>
        <v>568.63739861954525</v>
      </c>
      <c r="M804" s="306">
        <f t="shared" ca="1" si="364"/>
        <v>-1.5246333551045268</v>
      </c>
      <c r="N804" s="304">
        <f t="shared" ca="1" si="365"/>
        <v>-87.355056552359912</v>
      </c>
      <c r="P804" s="310">
        <f t="shared" ca="1" si="366"/>
        <v>23</v>
      </c>
      <c r="Q804" s="304">
        <f t="shared" ca="1" si="367"/>
        <v>0</v>
      </c>
      <c r="R804" s="306">
        <f t="shared" ca="1" si="368"/>
        <v>0</v>
      </c>
      <c r="S804" s="307">
        <f t="shared" ca="1" si="369"/>
        <v>6.1519999999999921</v>
      </c>
      <c r="T804" s="304">
        <f t="shared" ca="1" si="349"/>
        <v>60.351119999999923</v>
      </c>
      <c r="U804" s="311">
        <f t="shared" ca="1" si="350"/>
        <v>0</v>
      </c>
      <c r="V804" s="306">
        <f t="shared" ca="1" si="351"/>
        <v>1.2254310414797569</v>
      </c>
      <c r="W804" s="304">
        <f t="shared" ca="1" si="352"/>
        <v>52.190871697684095</v>
      </c>
      <c r="Y804" s="314" t="str">
        <f t="shared" ca="1" si="370"/>
        <v/>
      </c>
      <c r="Z804" s="315" t="str">
        <f t="shared" ca="1" si="371"/>
        <v/>
      </c>
      <c r="AA804" s="316" t="str">
        <f t="shared" ca="1" si="372"/>
        <v/>
      </c>
      <c r="AC804" s="310" t="e">
        <f t="shared" ca="1" si="373"/>
        <v>#N/A</v>
      </c>
      <c r="AD804" s="323" t="e">
        <f t="shared" ca="1" si="374"/>
        <v>#N/A</v>
      </c>
      <c r="AE804" s="324" t="e">
        <f t="shared" ca="1" si="353"/>
        <v>#N/A</v>
      </c>
      <c r="AG804" s="306">
        <f t="shared" ca="1" si="375"/>
        <v>1.316015310092995</v>
      </c>
      <c r="AH804" s="304">
        <f t="shared" ca="1" si="376"/>
        <v>-8.4835337413997607</v>
      </c>
    </row>
    <row r="805" spans="1:34" x14ac:dyDescent="0.2">
      <c r="A805" s="347">
        <f t="shared" ca="1" si="354"/>
        <v>1E-4</v>
      </c>
      <c r="B805" s="304">
        <f t="shared" ca="1" si="355"/>
        <v>41.402700000000365</v>
      </c>
      <c r="D805" s="306">
        <f t="shared" ca="1" si="356"/>
        <v>-0.39148734035303956</v>
      </c>
      <c r="E805" s="307">
        <f t="shared" ca="1" si="357"/>
        <v>-1.3354759951349404</v>
      </c>
      <c r="F805" s="304">
        <f t="shared" ca="1" si="358"/>
        <v>1.3916747002221304</v>
      </c>
      <c r="G805" s="306">
        <f t="shared" ca="1" si="359"/>
        <v>6.2328948562487563</v>
      </c>
      <c r="H805" s="307">
        <f t="shared" ca="1" si="360"/>
        <v>-134.92441691863485</v>
      </c>
      <c r="I805" s="304">
        <f t="shared" ca="1" si="361"/>
        <v>135.06830590157949</v>
      </c>
      <c r="J805" s="306">
        <f t="shared" ca="1" si="362"/>
        <v>568.62651553779426</v>
      </c>
      <c r="K805" s="307">
        <f t="shared" ca="1" si="363"/>
        <v>-3.5315794365271089</v>
      </c>
      <c r="L805" s="304">
        <f t="shared" ca="1" si="348"/>
        <v>568.63748225558425</v>
      </c>
      <c r="M805" s="306">
        <f t="shared" ca="1" si="364"/>
        <v>-1.5246336902667432</v>
      </c>
      <c r="N805" s="304">
        <f t="shared" ca="1" si="365"/>
        <v>-87.355075755740373</v>
      </c>
      <c r="P805" s="310">
        <f t="shared" ca="1" si="366"/>
        <v>23</v>
      </c>
      <c r="Q805" s="304">
        <f t="shared" ca="1" si="367"/>
        <v>0</v>
      </c>
      <c r="R805" s="306">
        <f t="shared" ca="1" si="368"/>
        <v>0</v>
      </c>
      <c r="S805" s="307">
        <f t="shared" ca="1" si="369"/>
        <v>6.1519999999999921</v>
      </c>
      <c r="T805" s="304">
        <f t="shared" ca="1" si="349"/>
        <v>60.351119999999923</v>
      </c>
      <c r="U805" s="311">
        <f t="shared" ca="1" si="350"/>
        <v>0</v>
      </c>
      <c r="V805" s="306">
        <f t="shared" ca="1" si="351"/>
        <v>1.2254326948857925</v>
      </c>
      <c r="W805" s="304">
        <f t="shared" ca="1" si="352"/>
        <v>52.191043816664752</v>
      </c>
      <c r="Y805" s="314" t="str">
        <f t="shared" ca="1" si="370"/>
        <v/>
      </c>
      <c r="Z805" s="315" t="str">
        <f t="shared" ca="1" si="371"/>
        <v/>
      </c>
      <c r="AA805" s="316" t="str">
        <f t="shared" ca="1" si="372"/>
        <v/>
      </c>
      <c r="AC805" s="310" t="e">
        <f t="shared" ca="1" si="373"/>
        <v>#N/A</v>
      </c>
      <c r="AD805" s="323" t="e">
        <f t="shared" ca="1" si="374"/>
        <v>#N/A</v>
      </c>
      <c r="AE805" s="324" t="e">
        <f t="shared" ca="1" si="353"/>
        <v>#N/A</v>
      </c>
      <c r="AG805" s="306">
        <f t="shared" ca="1" si="375"/>
        <v>1.3159874838323002</v>
      </c>
      <c r="AH805" s="304">
        <f t="shared" ca="1" si="376"/>
        <v>-8.4835617193894937</v>
      </c>
    </row>
    <row r="806" spans="1:34" x14ac:dyDescent="0.2">
      <c r="A806" s="347">
        <f t="shared" ca="1" si="354"/>
        <v>1E-4</v>
      </c>
      <c r="B806" s="304">
        <f t="shared" ca="1" si="355"/>
        <v>41.402800000000369</v>
      </c>
      <c r="D806" s="306">
        <f t="shared" ca="1" si="356"/>
        <v>-0.39148579107978687</v>
      </c>
      <c r="E806" s="307">
        <f t="shared" ca="1" si="357"/>
        <v>-1.3354479160008008</v>
      </c>
      <c r="F806" s="304">
        <f t="shared" ca="1" si="358"/>
        <v>1.3916473191754615</v>
      </c>
      <c r="G806" s="306">
        <f t="shared" ca="1" si="359"/>
        <v>6.232855707669648</v>
      </c>
      <c r="H806" s="307">
        <f t="shared" ca="1" si="360"/>
        <v>-134.92455046342644</v>
      </c>
      <c r="I806" s="304">
        <f t="shared" ca="1" si="361"/>
        <v>135.06843749755285</v>
      </c>
      <c r="J806" s="306">
        <f t="shared" ca="1" si="362"/>
        <v>568.62651553779426</v>
      </c>
      <c r="K806" s="307">
        <f t="shared" ca="1" si="363"/>
        <v>-3.5450718848962119</v>
      </c>
      <c r="L806" s="304">
        <f t="shared" ca="1" si="348"/>
        <v>568.63756621183802</v>
      </c>
      <c r="M806" s="306">
        <f t="shared" ca="1" si="364"/>
        <v>-1.5246340254262012</v>
      </c>
      <c r="N806" s="304">
        <f t="shared" ca="1" si="365"/>
        <v>-87.355094958962766</v>
      </c>
      <c r="P806" s="310">
        <f t="shared" ca="1" si="366"/>
        <v>23</v>
      </c>
      <c r="Q806" s="304">
        <f t="shared" ca="1" si="367"/>
        <v>0</v>
      </c>
      <c r="R806" s="306">
        <f t="shared" ca="1" si="368"/>
        <v>0</v>
      </c>
      <c r="S806" s="307">
        <f t="shared" ca="1" si="369"/>
        <v>6.1519999999999921</v>
      </c>
      <c r="T806" s="304">
        <f t="shared" ca="1" si="349"/>
        <v>60.351119999999923</v>
      </c>
      <c r="U806" s="311">
        <f t="shared" ca="1" si="350"/>
        <v>0</v>
      </c>
      <c r="V806" s="306">
        <f t="shared" ca="1" si="351"/>
        <v>1.2254343482956964</v>
      </c>
      <c r="W806" s="304">
        <f t="shared" ca="1" si="352"/>
        <v>52.191215934033231</v>
      </c>
      <c r="Y806" s="314" t="str">
        <f t="shared" ca="1" si="370"/>
        <v/>
      </c>
      <c r="Z806" s="315" t="str">
        <f t="shared" ca="1" si="371"/>
        <v/>
      </c>
      <c r="AA806" s="316" t="str">
        <f t="shared" ca="1" si="372"/>
        <v/>
      </c>
      <c r="AC806" s="310" t="e">
        <f t="shared" ca="1" si="373"/>
        <v>#N/A</v>
      </c>
      <c r="AD806" s="323" t="e">
        <f t="shared" ca="1" si="374"/>
        <v>#N/A</v>
      </c>
      <c r="AE806" s="324" t="e">
        <f t="shared" ca="1" si="353"/>
        <v>#N/A</v>
      </c>
      <c r="AG806" s="306">
        <f t="shared" ca="1" si="375"/>
        <v>1.3159596578313177</v>
      </c>
      <c r="AH806" s="304">
        <f t="shared" ca="1" si="376"/>
        <v>-8.4835896971171678</v>
      </c>
    </row>
    <row r="807" spans="1:34" x14ac:dyDescent="0.2">
      <c r="A807" s="347">
        <f t="shared" ca="1" si="354"/>
        <v>1E-4</v>
      </c>
      <c r="B807" s="304">
        <f t="shared" ca="1" si="355"/>
        <v>41.402900000000372</v>
      </c>
      <c r="D807" s="306">
        <f t="shared" ca="1" si="356"/>
        <v>-0.3914842417990399</v>
      </c>
      <c r="E807" s="307">
        <f t="shared" ca="1" si="357"/>
        <v>-1.3354198371296029</v>
      </c>
      <c r="F807" s="304">
        <f t="shared" ca="1" si="358"/>
        <v>1.3916199384085528</v>
      </c>
      <c r="G807" s="306">
        <f t="shared" ca="1" si="359"/>
        <v>6.2328165592454683</v>
      </c>
      <c r="H807" s="307">
        <f t="shared" ca="1" si="360"/>
        <v>-134.92468400541014</v>
      </c>
      <c r="I807" s="304">
        <f t="shared" ca="1" si="361"/>
        <v>135.06856909074364</v>
      </c>
      <c r="J807" s="306">
        <f t="shared" ca="1" si="362"/>
        <v>568.62651553779426</v>
      </c>
      <c r="K807" s="307">
        <f t="shared" ca="1" si="363"/>
        <v>-3.5585643466196539</v>
      </c>
      <c r="L807" s="304">
        <f t="shared" ca="1" si="348"/>
        <v>568.63765048830737</v>
      </c>
      <c r="M807" s="306">
        <f t="shared" ca="1" si="364"/>
        <v>-1.5246343605829011</v>
      </c>
      <c r="N807" s="304">
        <f t="shared" ca="1" si="365"/>
        <v>-87.355114162027149</v>
      </c>
      <c r="P807" s="310">
        <f t="shared" ca="1" si="366"/>
        <v>23</v>
      </c>
      <c r="Q807" s="304">
        <f t="shared" ca="1" si="367"/>
        <v>0</v>
      </c>
      <c r="R807" s="306">
        <f t="shared" ca="1" si="368"/>
        <v>0</v>
      </c>
      <c r="S807" s="307">
        <f t="shared" ca="1" si="369"/>
        <v>6.1519999999999921</v>
      </c>
      <c r="T807" s="304">
        <f t="shared" ca="1" si="349"/>
        <v>60.351119999999923</v>
      </c>
      <c r="U807" s="311">
        <f t="shared" ca="1" si="350"/>
        <v>0</v>
      </c>
      <c r="V807" s="306">
        <f t="shared" ca="1" si="351"/>
        <v>1.2254360017094676</v>
      </c>
      <c r="W807" s="304">
        <f t="shared" ca="1" si="352"/>
        <v>52.191388049789524</v>
      </c>
      <c r="Y807" s="314" t="str">
        <f t="shared" ca="1" si="370"/>
        <v/>
      </c>
      <c r="Z807" s="315" t="str">
        <f t="shared" ca="1" si="371"/>
        <v/>
      </c>
      <c r="AA807" s="316" t="str">
        <f t="shared" ca="1" si="372"/>
        <v/>
      </c>
      <c r="AC807" s="310" t="e">
        <f t="shared" ca="1" si="373"/>
        <v>#N/A</v>
      </c>
      <c r="AD807" s="323" t="e">
        <f t="shared" ca="1" si="374"/>
        <v>#N/A</v>
      </c>
      <c r="AE807" s="324" t="e">
        <f t="shared" ca="1" si="353"/>
        <v>#N/A</v>
      </c>
      <c r="AG807" s="306">
        <f t="shared" ca="1" si="375"/>
        <v>1.3159318320900422</v>
      </c>
      <c r="AH807" s="304">
        <f t="shared" ca="1" si="376"/>
        <v>-8.4836176745827849</v>
      </c>
    </row>
    <row r="808" spans="1:34" x14ac:dyDescent="0.2">
      <c r="A808" s="347">
        <f t="shared" ca="1" si="354"/>
        <v>1E-4</v>
      </c>
      <c r="B808" s="304">
        <f t="shared" ca="1" si="355"/>
        <v>41.403000000000375</v>
      </c>
      <c r="D808" s="306">
        <f t="shared" ca="1" si="356"/>
        <v>-0.39148269251079548</v>
      </c>
      <c r="E808" s="307">
        <f t="shared" ca="1" si="357"/>
        <v>-1.3353917585213502</v>
      </c>
      <c r="F808" s="304">
        <f t="shared" ca="1" si="358"/>
        <v>1.3915925579214077</v>
      </c>
      <c r="G808" s="306">
        <f t="shared" ca="1" si="359"/>
        <v>6.2327774109762171</v>
      </c>
      <c r="H808" s="307">
        <f t="shared" ca="1" si="360"/>
        <v>-134.92481754458601</v>
      </c>
      <c r="I808" s="304">
        <f t="shared" ca="1" si="361"/>
        <v>135.06870068115188</v>
      </c>
      <c r="J808" s="306">
        <f t="shared" ca="1" si="362"/>
        <v>568.62651553779426</v>
      </c>
      <c r="K808" s="307">
        <f t="shared" ca="1" si="363"/>
        <v>-3.5720568216971538</v>
      </c>
      <c r="L808" s="304">
        <f t="shared" ca="1" si="348"/>
        <v>568.6377350849931</v>
      </c>
      <c r="M808" s="306">
        <f t="shared" ca="1" si="364"/>
        <v>-1.5246346957368428</v>
      </c>
      <c r="N808" s="304">
        <f t="shared" ca="1" si="365"/>
        <v>-87.355133364933508</v>
      </c>
      <c r="P808" s="310">
        <f t="shared" ca="1" si="366"/>
        <v>23</v>
      </c>
      <c r="Q808" s="304">
        <f t="shared" ca="1" si="367"/>
        <v>0</v>
      </c>
      <c r="R808" s="306">
        <f t="shared" ca="1" si="368"/>
        <v>0</v>
      </c>
      <c r="S808" s="307">
        <f t="shared" ca="1" si="369"/>
        <v>6.1519999999999921</v>
      </c>
      <c r="T808" s="304">
        <f t="shared" ca="1" si="349"/>
        <v>60.351119999999923</v>
      </c>
      <c r="U808" s="311">
        <f t="shared" ca="1" si="350"/>
        <v>0</v>
      </c>
      <c r="V808" s="306">
        <f t="shared" ca="1" si="351"/>
        <v>1.2254376551271071</v>
      </c>
      <c r="W808" s="304">
        <f t="shared" ca="1" si="352"/>
        <v>52.191560163933701</v>
      </c>
      <c r="Y808" s="314" t="str">
        <f t="shared" ca="1" si="370"/>
        <v/>
      </c>
      <c r="Z808" s="315" t="str">
        <f t="shared" ca="1" si="371"/>
        <v/>
      </c>
      <c r="AA808" s="316" t="str">
        <f t="shared" ca="1" si="372"/>
        <v/>
      </c>
      <c r="AC808" s="310" t="e">
        <f t="shared" ca="1" si="373"/>
        <v>#N/A</v>
      </c>
      <c r="AD808" s="323" t="e">
        <f t="shared" ca="1" si="374"/>
        <v>#N/A</v>
      </c>
      <c r="AE808" s="324" t="e">
        <f t="shared" ca="1" si="353"/>
        <v>#N/A</v>
      </c>
      <c r="AG808" s="306">
        <f t="shared" ca="1" si="375"/>
        <v>1.3159040066084735</v>
      </c>
      <c r="AH808" s="304">
        <f t="shared" ca="1" si="376"/>
        <v>-8.483645651786345</v>
      </c>
    </row>
    <row r="809" spans="1:34" x14ac:dyDescent="0.2">
      <c r="A809" s="347">
        <f t="shared" ca="1" si="354"/>
        <v>1E-4</v>
      </c>
      <c r="B809" s="304">
        <f t="shared" ca="1" si="355"/>
        <v>41.403100000000379</v>
      </c>
      <c r="D809" s="306">
        <f t="shared" ca="1" si="356"/>
        <v>-0.39148114321505628</v>
      </c>
      <c r="E809" s="307">
        <f t="shared" ca="1" si="357"/>
        <v>-1.3353636801760356</v>
      </c>
      <c r="F809" s="304">
        <f t="shared" ca="1" si="358"/>
        <v>1.3915651777140203</v>
      </c>
      <c r="G809" s="306">
        <f t="shared" ca="1" si="359"/>
        <v>6.2327382628618953</v>
      </c>
      <c r="H809" s="307">
        <f t="shared" ca="1" si="360"/>
        <v>-134.92495108095403</v>
      </c>
      <c r="I809" s="304">
        <f t="shared" ca="1" si="361"/>
        <v>135.06883226877761</v>
      </c>
      <c r="J809" s="306">
        <f t="shared" ca="1" si="362"/>
        <v>568.62651553779426</v>
      </c>
      <c r="K809" s="307">
        <f t="shared" ca="1" si="363"/>
        <v>-3.5855493101284308</v>
      </c>
      <c r="L809" s="304">
        <f t="shared" ca="1" si="348"/>
        <v>568.63782000189599</v>
      </c>
      <c r="M809" s="306">
        <f t="shared" ca="1" si="364"/>
        <v>-1.5246350308880263</v>
      </c>
      <c r="N809" s="304">
        <f t="shared" ca="1" si="365"/>
        <v>-87.355152567681813</v>
      </c>
      <c r="P809" s="310">
        <f t="shared" ca="1" si="366"/>
        <v>23</v>
      </c>
      <c r="Q809" s="304">
        <f t="shared" ca="1" si="367"/>
        <v>0</v>
      </c>
      <c r="R809" s="306">
        <f t="shared" ca="1" si="368"/>
        <v>0</v>
      </c>
      <c r="S809" s="307">
        <f t="shared" ca="1" si="369"/>
        <v>6.1519999999999921</v>
      </c>
      <c r="T809" s="304">
        <f t="shared" ca="1" si="349"/>
        <v>60.351119999999923</v>
      </c>
      <c r="U809" s="311">
        <f t="shared" ca="1" si="350"/>
        <v>0</v>
      </c>
      <c r="V809" s="306">
        <f t="shared" ca="1" si="351"/>
        <v>1.2254393085486142</v>
      </c>
      <c r="W809" s="304">
        <f t="shared" ca="1" si="352"/>
        <v>52.191732276465714</v>
      </c>
      <c r="Y809" s="314" t="str">
        <f t="shared" ca="1" si="370"/>
        <v/>
      </c>
      <c r="Z809" s="315" t="str">
        <f t="shared" ca="1" si="371"/>
        <v/>
      </c>
      <c r="AA809" s="316" t="str">
        <f t="shared" ca="1" si="372"/>
        <v/>
      </c>
      <c r="AC809" s="310" t="e">
        <f t="shared" ca="1" si="373"/>
        <v>#N/A</v>
      </c>
      <c r="AD809" s="323" t="e">
        <f t="shared" ca="1" si="374"/>
        <v>#N/A</v>
      </c>
      <c r="AE809" s="324" t="e">
        <f t="shared" ca="1" si="353"/>
        <v>#N/A</v>
      </c>
      <c r="AG809" s="306">
        <f t="shared" ca="1" si="375"/>
        <v>1.3158761813866047</v>
      </c>
      <c r="AH809" s="304">
        <f t="shared" ca="1" si="376"/>
        <v>-8.4836736287278551</v>
      </c>
    </row>
    <row r="810" spans="1:34" x14ac:dyDescent="0.2">
      <c r="A810" s="347">
        <f t="shared" ca="1" si="354"/>
        <v>1E-4</v>
      </c>
      <c r="B810" s="304">
        <f t="shared" ca="1" si="355"/>
        <v>41.403200000000382</v>
      </c>
      <c r="D810" s="306">
        <f t="shared" ca="1" si="356"/>
        <v>-0.39147959391182258</v>
      </c>
      <c r="E810" s="307">
        <f t="shared" ca="1" si="357"/>
        <v>-1.3353356020936591</v>
      </c>
      <c r="F810" s="304">
        <f t="shared" ca="1" si="358"/>
        <v>1.3915377977863916</v>
      </c>
      <c r="G810" s="306">
        <f t="shared" ca="1" si="359"/>
        <v>6.2326991149025037</v>
      </c>
      <c r="H810" s="307">
        <f t="shared" ca="1" si="360"/>
        <v>-134.92508461451425</v>
      </c>
      <c r="I810" s="304">
        <f t="shared" ca="1" si="361"/>
        <v>135.06896385362083</v>
      </c>
      <c r="J810" s="306">
        <f t="shared" ca="1" si="362"/>
        <v>568.62651553779426</v>
      </c>
      <c r="K810" s="307">
        <f t="shared" ca="1" si="363"/>
        <v>-3.5990418119132044</v>
      </c>
      <c r="L810" s="304">
        <f t="shared" ca="1" si="348"/>
        <v>568.63790523901696</v>
      </c>
      <c r="M810" s="306">
        <f t="shared" ca="1" si="364"/>
        <v>-1.5246353660364518</v>
      </c>
      <c r="N810" s="304">
        <f t="shared" ca="1" si="365"/>
        <v>-87.355171770272108</v>
      </c>
      <c r="P810" s="310">
        <f t="shared" ca="1" si="366"/>
        <v>23</v>
      </c>
      <c r="Q810" s="304">
        <f t="shared" ca="1" si="367"/>
        <v>0</v>
      </c>
      <c r="R810" s="306">
        <f t="shared" ca="1" si="368"/>
        <v>0</v>
      </c>
      <c r="S810" s="307">
        <f t="shared" ca="1" si="369"/>
        <v>6.1519999999999921</v>
      </c>
      <c r="T810" s="304">
        <f t="shared" ca="1" si="349"/>
        <v>60.351119999999923</v>
      </c>
      <c r="U810" s="311">
        <f t="shared" ca="1" si="350"/>
        <v>0</v>
      </c>
      <c r="V810" s="306">
        <f t="shared" ca="1" si="351"/>
        <v>1.2254409619739888</v>
      </c>
      <c r="W810" s="304">
        <f t="shared" ca="1" si="352"/>
        <v>52.191904387385541</v>
      </c>
      <c r="Y810" s="314" t="str">
        <f t="shared" ca="1" si="370"/>
        <v/>
      </c>
      <c r="Z810" s="315" t="str">
        <f t="shared" ca="1" si="371"/>
        <v/>
      </c>
      <c r="AA810" s="316" t="str">
        <f t="shared" ca="1" si="372"/>
        <v/>
      </c>
      <c r="AC810" s="310" t="e">
        <f t="shared" ca="1" si="373"/>
        <v>#N/A</v>
      </c>
      <c r="AD810" s="323" t="e">
        <f t="shared" ca="1" si="374"/>
        <v>#N/A</v>
      </c>
      <c r="AE810" s="324" t="e">
        <f t="shared" ca="1" si="353"/>
        <v>#N/A</v>
      </c>
      <c r="AG810" s="306">
        <f t="shared" ca="1" si="375"/>
        <v>1.315848356424441</v>
      </c>
      <c r="AH810" s="304">
        <f t="shared" ca="1" si="376"/>
        <v>-8.4837016054073118</v>
      </c>
    </row>
    <row r="811" spans="1:34" x14ac:dyDescent="0.2">
      <c r="A811" s="347">
        <f t="shared" ca="1" si="354"/>
        <v>1E-4</v>
      </c>
      <c r="B811" s="304">
        <f t="shared" ca="1" si="355"/>
        <v>41.403300000000385</v>
      </c>
      <c r="D811" s="306">
        <f t="shared" ca="1" si="356"/>
        <v>-0.39147804460109276</v>
      </c>
      <c r="E811" s="307">
        <f t="shared" ca="1" si="357"/>
        <v>-1.3353075242742314</v>
      </c>
      <c r="F811" s="304">
        <f t="shared" ca="1" si="358"/>
        <v>1.391510418138532</v>
      </c>
      <c r="G811" s="306">
        <f t="shared" ca="1" si="359"/>
        <v>6.2326599670980434</v>
      </c>
      <c r="H811" s="307">
        <f t="shared" ca="1" si="360"/>
        <v>-134.92521814526668</v>
      </c>
      <c r="I811" s="304">
        <f t="shared" ca="1" si="361"/>
        <v>135.06909543568162</v>
      </c>
      <c r="J811" s="306">
        <f t="shared" ca="1" si="362"/>
        <v>568.62651553779426</v>
      </c>
      <c r="K811" s="307">
        <f t="shared" ca="1" si="363"/>
        <v>-3.6125343270511934</v>
      </c>
      <c r="L811" s="304">
        <f t="shared" ca="1" si="348"/>
        <v>568.63799079635669</v>
      </c>
      <c r="M811" s="306">
        <f t="shared" ca="1" si="364"/>
        <v>-1.5246357011821192</v>
      </c>
      <c r="N811" s="304">
        <f t="shared" ca="1" si="365"/>
        <v>-87.355190972704364</v>
      </c>
      <c r="P811" s="310">
        <f t="shared" ca="1" si="366"/>
        <v>23</v>
      </c>
      <c r="Q811" s="304">
        <f t="shared" ca="1" si="367"/>
        <v>0</v>
      </c>
      <c r="R811" s="306">
        <f t="shared" ca="1" si="368"/>
        <v>0</v>
      </c>
      <c r="S811" s="307">
        <f t="shared" ca="1" si="369"/>
        <v>6.1519999999999921</v>
      </c>
      <c r="T811" s="304">
        <f t="shared" ca="1" si="349"/>
        <v>60.351119999999923</v>
      </c>
      <c r="U811" s="311">
        <f t="shared" ca="1" si="350"/>
        <v>0</v>
      </c>
      <c r="V811" s="306">
        <f t="shared" ca="1" si="351"/>
        <v>1.2254426154032307</v>
      </c>
      <c r="W811" s="304">
        <f t="shared" ca="1" si="352"/>
        <v>52.192076496693275</v>
      </c>
      <c r="Y811" s="314" t="str">
        <f t="shared" ca="1" si="370"/>
        <v/>
      </c>
      <c r="Z811" s="315" t="str">
        <f t="shared" ca="1" si="371"/>
        <v/>
      </c>
      <c r="AA811" s="316" t="str">
        <f t="shared" ca="1" si="372"/>
        <v/>
      </c>
      <c r="AC811" s="310" t="e">
        <f t="shared" ca="1" si="373"/>
        <v>#N/A</v>
      </c>
      <c r="AD811" s="323" t="e">
        <f t="shared" ca="1" si="374"/>
        <v>#N/A</v>
      </c>
      <c r="AE811" s="324" t="e">
        <f t="shared" ca="1" si="353"/>
        <v>#N/A</v>
      </c>
      <c r="AG811" s="306">
        <f t="shared" ca="1" si="375"/>
        <v>1.315820531721986</v>
      </c>
      <c r="AH811" s="304">
        <f t="shared" ca="1" si="376"/>
        <v>-8.4837295818247096</v>
      </c>
    </row>
    <row r="812" spans="1:34" x14ac:dyDescent="0.2">
      <c r="A812" s="347">
        <f t="shared" ca="1" si="354"/>
        <v>1E-4</v>
      </c>
      <c r="B812" s="304">
        <f t="shared" ca="1" si="355"/>
        <v>41.403400000000389</v>
      </c>
      <c r="D812" s="306">
        <f t="shared" ca="1" si="356"/>
        <v>-0.3914764952828681</v>
      </c>
      <c r="E812" s="307">
        <f t="shared" ca="1" si="357"/>
        <v>-1.3352794467177347</v>
      </c>
      <c r="F812" s="304">
        <f t="shared" ca="1" si="358"/>
        <v>1.3914830387704253</v>
      </c>
      <c r="G812" s="306">
        <f t="shared" ca="1" si="359"/>
        <v>6.2326208194485151</v>
      </c>
      <c r="H812" s="307">
        <f t="shared" ca="1" si="360"/>
        <v>-134.92535167321137</v>
      </c>
      <c r="I812" s="304">
        <f t="shared" ca="1" si="361"/>
        <v>135.06922701495995</v>
      </c>
      <c r="J812" s="306">
        <f t="shared" ca="1" si="362"/>
        <v>568.62651553779426</v>
      </c>
      <c r="K812" s="307">
        <f t="shared" ca="1" si="363"/>
        <v>-3.6260268555421171</v>
      </c>
      <c r="L812" s="304">
        <f t="shared" ca="1" si="348"/>
        <v>568.63807667391609</v>
      </c>
      <c r="M812" s="306">
        <f t="shared" ca="1" si="364"/>
        <v>-1.5246360363250286</v>
      </c>
      <c r="N812" s="304">
        <f t="shared" ca="1" si="365"/>
        <v>-87.355210174978609</v>
      </c>
      <c r="P812" s="310">
        <f t="shared" ca="1" si="366"/>
        <v>23</v>
      </c>
      <c r="Q812" s="304">
        <f t="shared" ca="1" si="367"/>
        <v>0</v>
      </c>
      <c r="R812" s="306">
        <f t="shared" ca="1" si="368"/>
        <v>0</v>
      </c>
      <c r="S812" s="307">
        <f t="shared" ca="1" si="369"/>
        <v>6.1519999999999921</v>
      </c>
      <c r="T812" s="304">
        <f t="shared" ca="1" si="349"/>
        <v>60.351119999999923</v>
      </c>
      <c r="U812" s="311">
        <f t="shared" ca="1" si="350"/>
        <v>0</v>
      </c>
      <c r="V812" s="306">
        <f t="shared" ca="1" si="351"/>
        <v>1.2254442688363405</v>
      </c>
      <c r="W812" s="304">
        <f t="shared" ca="1" si="352"/>
        <v>52.192248604388858</v>
      </c>
      <c r="Y812" s="314" t="str">
        <f t="shared" ca="1" si="370"/>
        <v/>
      </c>
      <c r="Z812" s="315" t="str">
        <f t="shared" ca="1" si="371"/>
        <v/>
      </c>
      <c r="AA812" s="316" t="str">
        <f t="shared" ca="1" si="372"/>
        <v/>
      </c>
      <c r="AC812" s="310" t="e">
        <f t="shared" ca="1" si="373"/>
        <v>#N/A</v>
      </c>
      <c r="AD812" s="323" t="e">
        <f t="shared" ca="1" si="374"/>
        <v>#N/A</v>
      </c>
      <c r="AE812" s="324" t="e">
        <f t="shared" ca="1" si="353"/>
        <v>#N/A</v>
      </c>
      <c r="AG812" s="306">
        <f t="shared" ca="1" si="375"/>
        <v>1.3157927072792273</v>
      </c>
      <c r="AH812" s="304">
        <f t="shared" ca="1" si="376"/>
        <v>-8.4837575579800628</v>
      </c>
    </row>
    <row r="813" spans="1:34" x14ac:dyDescent="0.2">
      <c r="A813" s="347">
        <f t="shared" ca="1" si="354"/>
        <v>1E-4</v>
      </c>
      <c r="B813" s="304">
        <f t="shared" ca="1" si="355"/>
        <v>41.403500000000392</v>
      </c>
      <c r="D813" s="306">
        <f t="shared" ca="1" si="356"/>
        <v>-0.39147494595714855</v>
      </c>
      <c r="E813" s="307">
        <f t="shared" ca="1" si="357"/>
        <v>-1.3352513694241779</v>
      </c>
      <c r="F813" s="304">
        <f t="shared" ca="1" si="358"/>
        <v>1.3914556596820808</v>
      </c>
      <c r="G813" s="306">
        <f t="shared" ca="1" si="359"/>
        <v>6.2325816719539198</v>
      </c>
      <c r="H813" s="307">
        <f t="shared" ca="1" si="360"/>
        <v>-134.9254851983483</v>
      </c>
      <c r="I813" s="304">
        <f t="shared" ca="1" si="361"/>
        <v>135.06935859145582</v>
      </c>
      <c r="J813" s="306">
        <f t="shared" ca="1" si="362"/>
        <v>568.62651553779426</v>
      </c>
      <c r="K813" s="307">
        <f t="shared" ca="1" si="363"/>
        <v>-3.639519397385695</v>
      </c>
      <c r="L813" s="304">
        <f t="shared" ca="1" si="348"/>
        <v>568.63816287169584</v>
      </c>
      <c r="M813" s="306">
        <f t="shared" ca="1" si="364"/>
        <v>-1.5246363714651801</v>
      </c>
      <c r="N813" s="304">
        <f t="shared" ca="1" si="365"/>
        <v>-87.35522937709483</v>
      </c>
      <c r="P813" s="310">
        <f t="shared" ca="1" si="366"/>
        <v>23</v>
      </c>
      <c r="Q813" s="304">
        <f t="shared" ca="1" si="367"/>
        <v>0</v>
      </c>
      <c r="R813" s="306">
        <f t="shared" ca="1" si="368"/>
        <v>0</v>
      </c>
      <c r="S813" s="307">
        <f t="shared" ca="1" si="369"/>
        <v>6.1519999999999921</v>
      </c>
      <c r="T813" s="304">
        <f t="shared" ca="1" si="349"/>
        <v>60.351119999999923</v>
      </c>
      <c r="U813" s="311">
        <f t="shared" ca="1" si="350"/>
        <v>0</v>
      </c>
      <c r="V813" s="306">
        <f t="shared" ca="1" si="351"/>
        <v>1.2254459222733178</v>
      </c>
      <c r="W813" s="304">
        <f t="shared" ca="1" si="352"/>
        <v>52.19242071047227</v>
      </c>
      <c r="Y813" s="314" t="str">
        <f t="shared" ca="1" si="370"/>
        <v/>
      </c>
      <c r="Z813" s="315" t="str">
        <f t="shared" ca="1" si="371"/>
        <v/>
      </c>
      <c r="AA813" s="316" t="str">
        <f t="shared" ca="1" si="372"/>
        <v/>
      </c>
      <c r="AC813" s="310" t="e">
        <f t="shared" ca="1" si="373"/>
        <v>#N/A</v>
      </c>
      <c r="AD813" s="323" t="e">
        <f t="shared" ca="1" si="374"/>
        <v>#N/A</v>
      </c>
      <c r="AE813" s="324" t="e">
        <f t="shared" ca="1" si="353"/>
        <v>#N/A</v>
      </c>
      <c r="AG813" s="306">
        <f t="shared" ca="1" si="375"/>
        <v>1.3157648830961719</v>
      </c>
      <c r="AH813" s="304">
        <f t="shared" ca="1" si="376"/>
        <v>-8.4837855338733625</v>
      </c>
    </row>
    <row r="814" spans="1:34" x14ac:dyDescent="0.2">
      <c r="A814" s="347">
        <f t="shared" ca="1" si="354"/>
        <v>1E-4</v>
      </c>
      <c r="B814" s="304">
        <f t="shared" ca="1" si="355"/>
        <v>41.403600000000395</v>
      </c>
      <c r="D814" s="306">
        <f t="shared" ca="1" si="356"/>
        <v>-0.39147339662393449</v>
      </c>
      <c r="E814" s="307">
        <f t="shared" ca="1" si="357"/>
        <v>-1.3352232923935645</v>
      </c>
      <c r="F814" s="304">
        <f t="shared" ca="1" si="358"/>
        <v>1.3914282808735026</v>
      </c>
      <c r="G814" s="306">
        <f t="shared" ca="1" si="359"/>
        <v>6.2325425246142574</v>
      </c>
      <c r="H814" s="307">
        <f t="shared" ca="1" si="360"/>
        <v>-134.92561872067753</v>
      </c>
      <c r="I814" s="304">
        <f t="shared" ca="1" si="361"/>
        <v>135.06949016516933</v>
      </c>
      <c r="J814" s="306">
        <f t="shared" ca="1" si="362"/>
        <v>568.62651553779426</v>
      </c>
      <c r="K814" s="307">
        <f t="shared" ca="1" si="363"/>
        <v>-3.6530119525816462</v>
      </c>
      <c r="L814" s="304">
        <f t="shared" ca="1" si="348"/>
        <v>568.63824938969685</v>
      </c>
      <c r="M814" s="306">
        <f t="shared" ca="1" si="364"/>
        <v>-1.5246367066025734</v>
      </c>
      <c r="N814" s="304">
        <f t="shared" ca="1" si="365"/>
        <v>-87.355248579053026</v>
      </c>
      <c r="P814" s="310">
        <f t="shared" ca="1" si="366"/>
        <v>23</v>
      </c>
      <c r="Q814" s="304">
        <f t="shared" ca="1" si="367"/>
        <v>0</v>
      </c>
      <c r="R814" s="306">
        <f t="shared" ca="1" si="368"/>
        <v>0</v>
      </c>
      <c r="S814" s="307">
        <f t="shared" ca="1" si="369"/>
        <v>6.1519999999999921</v>
      </c>
      <c r="T814" s="304">
        <f t="shared" ca="1" si="349"/>
        <v>60.351119999999923</v>
      </c>
      <c r="U814" s="311">
        <f t="shared" ca="1" si="350"/>
        <v>0</v>
      </c>
      <c r="V814" s="306">
        <f t="shared" ca="1" si="351"/>
        <v>1.225447575714163</v>
      </c>
      <c r="W814" s="304">
        <f t="shared" ca="1" si="352"/>
        <v>52.192592814943595</v>
      </c>
      <c r="Y814" s="314" t="str">
        <f t="shared" ca="1" si="370"/>
        <v/>
      </c>
      <c r="Z814" s="315" t="str">
        <f t="shared" ca="1" si="371"/>
        <v/>
      </c>
      <c r="AA814" s="316" t="str">
        <f t="shared" ca="1" si="372"/>
        <v/>
      </c>
      <c r="AC814" s="310" t="e">
        <f t="shared" ca="1" si="373"/>
        <v>#N/A</v>
      </c>
      <c r="AD814" s="323" t="e">
        <f t="shared" ca="1" si="374"/>
        <v>#N/A</v>
      </c>
      <c r="AE814" s="324" t="e">
        <f t="shared" ca="1" si="353"/>
        <v>#N/A</v>
      </c>
      <c r="AG814" s="306">
        <f t="shared" ca="1" si="375"/>
        <v>1.315737059172827</v>
      </c>
      <c r="AH814" s="304">
        <f t="shared" ca="1" si="376"/>
        <v>-8.4838135095046052</v>
      </c>
    </row>
    <row r="815" spans="1:34" x14ac:dyDescent="0.2">
      <c r="A815" s="347">
        <f t="shared" ca="1" si="354"/>
        <v>1E-4</v>
      </c>
      <c r="B815" s="304">
        <f t="shared" ca="1" si="355"/>
        <v>41.403700000000399</v>
      </c>
      <c r="D815" s="306">
        <f t="shared" ca="1" si="356"/>
        <v>-0.39147184728322715</v>
      </c>
      <c r="E815" s="307">
        <f t="shared" ca="1" si="357"/>
        <v>-1.3351952156258822</v>
      </c>
      <c r="F815" s="304">
        <f t="shared" ca="1" si="358"/>
        <v>1.3914009023446796</v>
      </c>
      <c r="G815" s="306">
        <f t="shared" ca="1" si="359"/>
        <v>6.2325033774295289</v>
      </c>
      <c r="H815" s="307">
        <f t="shared" ca="1" si="360"/>
        <v>-134.9257522401991</v>
      </c>
      <c r="I815" s="304">
        <f t="shared" ca="1" si="361"/>
        <v>135.06962173610046</v>
      </c>
      <c r="J815" s="306">
        <f t="shared" ca="1" si="362"/>
        <v>568.62651553779426</v>
      </c>
      <c r="K815" s="307">
        <f t="shared" ca="1" si="363"/>
        <v>-3.6665045211296903</v>
      </c>
      <c r="L815" s="304">
        <f t="shared" ca="1" si="348"/>
        <v>568.63833622791981</v>
      </c>
      <c r="M815" s="306">
        <f t="shared" ca="1" si="364"/>
        <v>-1.5246370417372088</v>
      </c>
      <c r="N815" s="304">
        <f t="shared" ca="1" si="365"/>
        <v>-87.355267780853211</v>
      </c>
      <c r="P815" s="310">
        <f t="shared" ca="1" si="366"/>
        <v>23</v>
      </c>
      <c r="Q815" s="304">
        <f t="shared" ca="1" si="367"/>
        <v>0</v>
      </c>
      <c r="R815" s="306">
        <f t="shared" ca="1" si="368"/>
        <v>0</v>
      </c>
      <c r="S815" s="307">
        <f t="shared" ca="1" si="369"/>
        <v>6.1519999999999921</v>
      </c>
      <c r="T815" s="304">
        <f t="shared" ca="1" si="349"/>
        <v>60.351119999999923</v>
      </c>
      <c r="U815" s="311">
        <f t="shared" ca="1" si="350"/>
        <v>0</v>
      </c>
      <c r="V815" s="306">
        <f t="shared" ca="1" si="351"/>
        <v>1.2254492291588757</v>
      </c>
      <c r="W815" s="304">
        <f t="shared" ca="1" si="352"/>
        <v>52.192764917802798</v>
      </c>
      <c r="Y815" s="314" t="str">
        <f t="shared" ca="1" si="370"/>
        <v/>
      </c>
      <c r="Z815" s="315" t="str">
        <f t="shared" ca="1" si="371"/>
        <v/>
      </c>
      <c r="AA815" s="316" t="str">
        <f t="shared" ca="1" si="372"/>
        <v/>
      </c>
      <c r="AC815" s="310" t="e">
        <f t="shared" ca="1" si="373"/>
        <v>#N/A</v>
      </c>
      <c r="AD815" s="323" t="e">
        <f t="shared" ca="1" si="374"/>
        <v>#N/A</v>
      </c>
      <c r="AE815" s="324" t="e">
        <f t="shared" ca="1" si="353"/>
        <v>#N/A</v>
      </c>
      <c r="AG815" s="306">
        <f t="shared" ca="1" si="375"/>
        <v>1.3157092355091713</v>
      </c>
      <c r="AH815" s="304">
        <f t="shared" ca="1" si="376"/>
        <v>-8.4838414848738068</v>
      </c>
    </row>
    <row r="816" spans="1:34" x14ac:dyDescent="0.2">
      <c r="A816" s="347">
        <f t="shared" ca="1" si="354"/>
        <v>1E-4</v>
      </c>
      <c r="B816" s="304">
        <f t="shared" ca="1" si="355"/>
        <v>41.403800000000402</v>
      </c>
      <c r="D816" s="306">
        <f t="shared" ca="1" si="356"/>
        <v>-0.39147029793502669</v>
      </c>
      <c r="E816" s="307">
        <f t="shared" ca="1" si="357"/>
        <v>-1.3351671391211326</v>
      </c>
      <c r="F816" s="304">
        <f t="shared" ca="1" si="358"/>
        <v>1.391373524095614</v>
      </c>
      <c r="G816" s="306">
        <f t="shared" ca="1" si="359"/>
        <v>6.2324642303997351</v>
      </c>
      <c r="H816" s="307">
        <f t="shared" ca="1" si="360"/>
        <v>-134.925885756913</v>
      </c>
      <c r="I816" s="304">
        <f t="shared" ca="1" si="361"/>
        <v>135.06975330424925</v>
      </c>
      <c r="J816" s="306">
        <f t="shared" ca="1" si="362"/>
        <v>568.62651553779426</v>
      </c>
      <c r="K816" s="307">
        <f t="shared" ca="1" si="363"/>
        <v>-3.679997103029546</v>
      </c>
      <c r="L816" s="304">
        <f t="shared" ca="1" si="348"/>
        <v>568.63842338636562</v>
      </c>
      <c r="M816" s="306">
        <f t="shared" ca="1" si="364"/>
        <v>-1.5246373768690864</v>
      </c>
      <c r="N816" s="304">
        <f t="shared" ca="1" si="365"/>
        <v>-87.355286982495372</v>
      </c>
      <c r="P816" s="310">
        <f t="shared" ca="1" si="366"/>
        <v>23</v>
      </c>
      <c r="Q816" s="304">
        <f t="shared" ca="1" si="367"/>
        <v>0</v>
      </c>
      <c r="R816" s="306">
        <f t="shared" ca="1" si="368"/>
        <v>0</v>
      </c>
      <c r="S816" s="307">
        <f t="shared" ca="1" si="369"/>
        <v>6.1519999999999921</v>
      </c>
      <c r="T816" s="304">
        <f t="shared" ca="1" si="349"/>
        <v>60.351119999999923</v>
      </c>
      <c r="U816" s="311">
        <f t="shared" ca="1" si="350"/>
        <v>0</v>
      </c>
      <c r="V816" s="306">
        <f t="shared" ca="1" si="351"/>
        <v>1.2254508826074559</v>
      </c>
      <c r="W816" s="304">
        <f t="shared" ca="1" si="352"/>
        <v>52.192937019049857</v>
      </c>
      <c r="Y816" s="314" t="str">
        <f t="shared" ca="1" si="370"/>
        <v/>
      </c>
      <c r="Z816" s="315" t="str">
        <f t="shared" ca="1" si="371"/>
        <v/>
      </c>
      <c r="AA816" s="316" t="str">
        <f t="shared" ca="1" si="372"/>
        <v/>
      </c>
      <c r="AC816" s="310" t="e">
        <f t="shared" ca="1" si="373"/>
        <v>#N/A</v>
      </c>
      <c r="AD816" s="323" t="e">
        <f t="shared" ca="1" si="374"/>
        <v>#N/A</v>
      </c>
      <c r="AE816" s="324" t="e">
        <f t="shared" ca="1" si="353"/>
        <v>#N/A</v>
      </c>
      <c r="AG816" s="306">
        <f t="shared" ca="1" si="375"/>
        <v>1.3156814121052154</v>
      </c>
      <c r="AH816" s="304">
        <f t="shared" ca="1" si="376"/>
        <v>-8.4838694599809603</v>
      </c>
    </row>
    <row r="817" spans="1:34" x14ac:dyDescent="0.2">
      <c r="A817" s="347">
        <f t="shared" ca="1" si="354"/>
        <v>1E-4</v>
      </c>
      <c r="B817" s="304">
        <f t="shared" ca="1" si="355"/>
        <v>41.403900000000405</v>
      </c>
      <c r="D817" s="306">
        <f t="shared" ca="1" si="356"/>
        <v>-0.39146874857933145</v>
      </c>
      <c r="E817" s="307">
        <f t="shared" ca="1" si="357"/>
        <v>-1.3351390628793247</v>
      </c>
      <c r="F817" s="304">
        <f t="shared" ca="1" si="358"/>
        <v>1.391346146126315</v>
      </c>
      <c r="G817" s="306">
        <f t="shared" ca="1" si="359"/>
        <v>6.2324250835248769</v>
      </c>
      <c r="H817" s="307">
        <f t="shared" ca="1" si="360"/>
        <v>-134.9260192708193</v>
      </c>
      <c r="I817" s="304">
        <f t="shared" ca="1" si="361"/>
        <v>135.06988486961572</v>
      </c>
      <c r="J817" s="306">
        <f t="shared" ca="1" si="362"/>
        <v>568.62651553779426</v>
      </c>
      <c r="K817" s="307">
        <f t="shared" ca="1" si="363"/>
        <v>-3.6934896982809327</v>
      </c>
      <c r="L817" s="304">
        <f t="shared" ca="1" si="348"/>
        <v>568.63851086503507</v>
      </c>
      <c r="M817" s="306">
        <f t="shared" ca="1" si="364"/>
        <v>-1.524637711998206</v>
      </c>
      <c r="N817" s="304">
        <f t="shared" ca="1" si="365"/>
        <v>-87.355306183979522</v>
      </c>
      <c r="P817" s="310">
        <f t="shared" ca="1" si="366"/>
        <v>23</v>
      </c>
      <c r="Q817" s="304">
        <f t="shared" ca="1" si="367"/>
        <v>0</v>
      </c>
      <c r="R817" s="306">
        <f t="shared" ca="1" si="368"/>
        <v>0</v>
      </c>
      <c r="S817" s="307">
        <f t="shared" ca="1" si="369"/>
        <v>6.1519999999999921</v>
      </c>
      <c r="T817" s="304">
        <f t="shared" ca="1" si="349"/>
        <v>60.351119999999923</v>
      </c>
      <c r="U817" s="311">
        <f t="shared" ca="1" si="350"/>
        <v>0</v>
      </c>
      <c r="V817" s="306">
        <f t="shared" ca="1" si="351"/>
        <v>1.2254525360599036</v>
      </c>
      <c r="W817" s="304">
        <f t="shared" ca="1" si="352"/>
        <v>52.193109118684831</v>
      </c>
      <c r="Y817" s="314" t="str">
        <f t="shared" ca="1" si="370"/>
        <v/>
      </c>
      <c r="Z817" s="315" t="str">
        <f t="shared" ca="1" si="371"/>
        <v/>
      </c>
      <c r="AA817" s="316" t="str">
        <f t="shared" ca="1" si="372"/>
        <v/>
      </c>
      <c r="AC817" s="310" t="e">
        <f t="shared" ca="1" si="373"/>
        <v>#N/A</v>
      </c>
      <c r="AD817" s="323" t="e">
        <f t="shared" ca="1" si="374"/>
        <v>#N/A</v>
      </c>
      <c r="AE817" s="324" t="e">
        <f t="shared" ca="1" si="353"/>
        <v>#N/A</v>
      </c>
      <c r="AG817" s="306">
        <f t="shared" ca="1" si="375"/>
        <v>1.3156535889609628</v>
      </c>
      <c r="AH817" s="304">
        <f t="shared" ca="1" si="376"/>
        <v>-8.4838974348260603</v>
      </c>
    </row>
    <row r="818" spans="1:34" x14ac:dyDescent="0.2">
      <c r="A818" s="347">
        <f t="shared" ca="1" si="354"/>
        <v>1E-4</v>
      </c>
      <c r="B818" s="304">
        <f t="shared" ca="1" si="355"/>
        <v>41.404000000000408</v>
      </c>
      <c r="D818" s="306">
        <f t="shared" ca="1" si="356"/>
        <v>-0.39146719921614448</v>
      </c>
      <c r="E818" s="307">
        <f t="shared" ca="1" si="357"/>
        <v>-1.3351109869004443</v>
      </c>
      <c r="F818" s="304">
        <f t="shared" ca="1" si="358"/>
        <v>1.39131876843677</v>
      </c>
      <c r="G818" s="306">
        <f t="shared" ca="1" si="359"/>
        <v>6.2323859368049552</v>
      </c>
      <c r="H818" s="307">
        <f t="shared" ca="1" si="360"/>
        <v>-134.92615278191798</v>
      </c>
      <c r="I818" s="304">
        <f t="shared" ca="1" si="361"/>
        <v>135.07001643219991</v>
      </c>
      <c r="J818" s="306">
        <f t="shared" ca="1" si="362"/>
        <v>568.62651553779426</v>
      </c>
      <c r="K818" s="307">
        <f t="shared" ca="1" si="363"/>
        <v>-3.7069823068835697</v>
      </c>
      <c r="L818" s="304">
        <f t="shared" ca="1" si="348"/>
        <v>568.63859866392897</v>
      </c>
      <c r="M818" s="306">
        <f t="shared" ca="1" si="364"/>
        <v>-1.524638047124568</v>
      </c>
      <c r="N818" s="304">
        <f t="shared" ca="1" si="365"/>
        <v>-87.355325385305662</v>
      </c>
      <c r="P818" s="310">
        <f t="shared" ca="1" si="366"/>
        <v>23</v>
      </c>
      <c r="Q818" s="304">
        <f t="shared" ca="1" si="367"/>
        <v>0</v>
      </c>
      <c r="R818" s="306">
        <f t="shared" ca="1" si="368"/>
        <v>0</v>
      </c>
      <c r="S818" s="307">
        <f t="shared" ca="1" si="369"/>
        <v>6.1519999999999921</v>
      </c>
      <c r="T818" s="304">
        <f t="shared" ca="1" si="349"/>
        <v>60.351119999999923</v>
      </c>
      <c r="U818" s="311">
        <f t="shared" ca="1" si="350"/>
        <v>0</v>
      </c>
      <c r="V818" s="306">
        <f t="shared" ca="1" si="351"/>
        <v>1.2254541895162185</v>
      </c>
      <c r="W818" s="304">
        <f t="shared" ca="1" si="352"/>
        <v>52.193281216707661</v>
      </c>
      <c r="Y818" s="314" t="str">
        <f t="shared" ca="1" si="370"/>
        <v/>
      </c>
      <c r="Z818" s="315" t="str">
        <f t="shared" ca="1" si="371"/>
        <v/>
      </c>
      <c r="AA818" s="316" t="str">
        <f t="shared" ca="1" si="372"/>
        <v/>
      </c>
      <c r="AC818" s="310" t="e">
        <f t="shared" ca="1" si="373"/>
        <v>#N/A</v>
      </c>
      <c r="AD818" s="323" t="e">
        <f t="shared" ca="1" si="374"/>
        <v>#N/A</v>
      </c>
      <c r="AE818" s="324" t="e">
        <f t="shared" ca="1" si="353"/>
        <v>#N/A</v>
      </c>
      <c r="AG818" s="306">
        <f t="shared" ca="1" si="375"/>
        <v>1.3156257660764048</v>
      </c>
      <c r="AH818" s="304">
        <f t="shared" ca="1" si="376"/>
        <v>-8.4839254094091192</v>
      </c>
    </row>
    <row r="819" spans="1:34" x14ac:dyDescent="0.2">
      <c r="A819" s="347">
        <f t="shared" ca="1" si="354"/>
        <v>1E-4</v>
      </c>
      <c r="B819" s="304">
        <f t="shared" ca="1" si="355"/>
        <v>41.404100000000412</v>
      </c>
      <c r="D819" s="306">
        <f t="shared" ca="1" si="356"/>
        <v>-0.39146564984546178</v>
      </c>
      <c r="E819" s="307">
        <f t="shared" ca="1" si="357"/>
        <v>-1.3350829111845055</v>
      </c>
      <c r="F819" s="304">
        <f t="shared" ca="1" si="358"/>
        <v>1.3912913910269926</v>
      </c>
      <c r="G819" s="306">
        <f t="shared" ca="1" si="359"/>
        <v>6.232346790239971</v>
      </c>
      <c r="H819" s="307">
        <f t="shared" ca="1" si="360"/>
        <v>-134.92628629020911</v>
      </c>
      <c r="I819" s="304">
        <f t="shared" ca="1" si="361"/>
        <v>135.07014799200186</v>
      </c>
      <c r="J819" s="306">
        <f t="shared" ca="1" si="362"/>
        <v>568.62651553779426</v>
      </c>
      <c r="K819" s="307">
        <f t="shared" ca="1" si="363"/>
        <v>-3.7204749288371759</v>
      </c>
      <c r="L819" s="304">
        <f t="shared" ca="1" si="348"/>
        <v>568.63868678304812</v>
      </c>
      <c r="M819" s="306">
        <f t="shared" ca="1" si="364"/>
        <v>-1.5246383822481719</v>
      </c>
      <c r="N819" s="304">
        <f t="shared" ca="1" si="365"/>
        <v>-87.355344586473791</v>
      </c>
      <c r="P819" s="310">
        <f t="shared" ca="1" si="366"/>
        <v>23</v>
      </c>
      <c r="Q819" s="304">
        <f t="shared" ca="1" si="367"/>
        <v>0</v>
      </c>
      <c r="R819" s="306">
        <f t="shared" ca="1" si="368"/>
        <v>0</v>
      </c>
      <c r="S819" s="307">
        <f t="shared" ca="1" si="369"/>
        <v>6.1519999999999921</v>
      </c>
      <c r="T819" s="304">
        <f t="shared" ca="1" si="349"/>
        <v>60.351119999999923</v>
      </c>
      <c r="U819" s="311">
        <f t="shared" ca="1" si="350"/>
        <v>0</v>
      </c>
      <c r="V819" s="306">
        <f t="shared" ca="1" si="351"/>
        <v>1.2254558429764009</v>
      </c>
      <c r="W819" s="304">
        <f t="shared" ca="1" si="352"/>
        <v>52.193453313118439</v>
      </c>
      <c r="Y819" s="314" t="str">
        <f t="shared" ca="1" si="370"/>
        <v/>
      </c>
      <c r="Z819" s="315" t="str">
        <f t="shared" ca="1" si="371"/>
        <v/>
      </c>
      <c r="AA819" s="316" t="str">
        <f t="shared" ca="1" si="372"/>
        <v/>
      </c>
      <c r="AC819" s="310" t="e">
        <f t="shared" ca="1" si="373"/>
        <v>#N/A</v>
      </c>
      <c r="AD819" s="323" t="e">
        <f t="shared" ca="1" si="374"/>
        <v>#N/A</v>
      </c>
      <c r="AE819" s="324" t="e">
        <f t="shared" ca="1" si="353"/>
        <v>#N/A</v>
      </c>
      <c r="AG819" s="306">
        <f t="shared" ca="1" si="375"/>
        <v>1.3155979434515501</v>
      </c>
      <c r="AH819" s="304">
        <f t="shared" ca="1" si="376"/>
        <v>-8.4839533837301246</v>
      </c>
    </row>
    <row r="820" spans="1:34" x14ac:dyDescent="0.2">
      <c r="A820" s="347">
        <f t="shared" ca="1" si="354"/>
        <v>1E-4</v>
      </c>
      <c r="B820" s="304">
        <f t="shared" ca="1" si="355"/>
        <v>41.404200000000415</v>
      </c>
      <c r="D820" s="306">
        <f t="shared" ca="1" si="356"/>
        <v>-0.39146410046728863</v>
      </c>
      <c r="E820" s="307">
        <f t="shared" ca="1" si="357"/>
        <v>-1.3350548357314889</v>
      </c>
      <c r="F820" s="304">
        <f t="shared" ca="1" si="358"/>
        <v>1.3912640138969656</v>
      </c>
      <c r="G820" s="306">
        <f t="shared" ca="1" si="359"/>
        <v>6.2323076438299241</v>
      </c>
      <c r="H820" s="307">
        <f t="shared" ca="1" si="360"/>
        <v>-134.92641979569268</v>
      </c>
      <c r="I820" s="304">
        <f t="shared" ca="1" si="361"/>
        <v>135.07027954902156</v>
      </c>
      <c r="J820" s="306">
        <f t="shared" ca="1" si="362"/>
        <v>568.62651553779426</v>
      </c>
      <c r="K820" s="307">
        <f t="shared" ca="1" si="363"/>
        <v>-3.7339675641414711</v>
      </c>
      <c r="L820" s="304">
        <f t="shared" ca="1" si="348"/>
        <v>568.63877522239318</v>
      </c>
      <c r="M820" s="306">
        <f t="shared" ca="1" si="364"/>
        <v>-1.5246387173690181</v>
      </c>
      <c r="N820" s="304">
        <f t="shared" ca="1" si="365"/>
        <v>-87.355363787483896</v>
      </c>
      <c r="P820" s="310">
        <f t="shared" ca="1" si="366"/>
        <v>23</v>
      </c>
      <c r="Q820" s="304">
        <f t="shared" ca="1" si="367"/>
        <v>0</v>
      </c>
      <c r="R820" s="306">
        <f t="shared" ca="1" si="368"/>
        <v>0</v>
      </c>
      <c r="S820" s="307">
        <f t="shared" ca="1" si="369"/>
        <v>6.1519999999999921</v>
      </c>
      <c r="T820" s="304">
        <f t="shared" ca="1" si="349"/>
        <v>60.351119999999923</v>
      </c>
      <c r="U820" s="311">
        <f t="shared" ca="1" si="350"/>
        <v>0</v>
      </c>
      <c r="V820" s="306">
        <f t="shared" ca="1" si="351"/>
        <v>1.225457496440451</v>
      </c>
      <c r="W820" s="304">
        <f t="shared" ca="1" si="352"/>
        <v>52.193625407917111</v>
      </c>
      <c r="Y820" s="314" t="str">
        <f t="shared" ca="1" si="370"/>
        <v/>
      </c>
      <c r="Z820" s="315" t="str">
        <f t="shared" ca="1" si="371"/>
        <v/>
      </c>
      <c r="AA820" s="316" t="str">
        <f t="shared" ca="1" si="372"/>
        <v/>
      </c>
      <c r="AC820" s="310" t="e">
        <f t="shared" ca="1" si="373"/>
        <v>#N/A</v>
      </c>
      <c r="AD820" s="323" t="e">
        <f t="shared" ca="1" si="374"/>
        <v>#N/A</v>
      </c>
      <c r="AE820" s="324" t="e">
        <f t="shared" ca="1" si="353"/>
        <v>#N/A</v>
      </c>
      <c r="AG820" s="306">
        <f t="shared" ca="1" si="375"/>
        <v>1.3155701210863828</v>
      </c>
      <c r="AH820" s="304">
        <f t="shared" ca="1" si="376"/>
        <v>-8.4839813577890943</v>
      </c>
    </row>
    <row r="821" spans="1:34" x14ac:dyDescent="0.2">
      <c r="A821" s="347">
        <f t="shared" ca="1" si="354"/>
        <v>1E-4</v>
      </c>
      <c r="B821" s="304">
        <f t="shared" ca="1" si="355"/>
        <v>41.404300000000418</v>
      </c>
      <c r="D821" s="306">
        <f t="shared" ca="1" si="356"/>
        <v>-0.39146255108162292</v>
      </c>
      <c r="E821" s="307">
        <f t="shared" ca="1" si="357"/>
        <v>-1.3350267605414068</v>
      </c>
      <c r="F821" s="304">
        <f t="shared" ca="1" si="358"/>
        <v>1.3912366370467013</v>
      </c>
      <c r="G821" s="306">
        <f t="shared" ca="1" si="359"/>
        <v>6.2322684975748155</v>
      </c>
      <c r="H821" s="307">
        <f t="shared" ca="1" si="360"/>
        <v>-134.92655329836873</v>
      </c>
      <c r="I821" s="304">
        <f t="shared" ca="1" si="361"/>
        <v>135.07041110325903</v>
      </c>
      <c r="J821" s="306">
        <f t="shared" ca="1" si="362"/>
        <v>568.62651553779426</v>
      </c>
      <c r="K821" s="307">
        <f t="shared" ca="1" si="363"/>
        <v>-3.7474602127961743</v>
      </c>
      <c r="L821" s="304">
        <f t="shared" ca="1" si="348"/>
        <v>568.63886398196519</v>
      </c>
      <c r="M821" s="306">
        <f t="shared" ca="1" si="364"/>
        <v>-1.5246390524871065</v>
      </c>
      <c r="N821" s="304">
        <f t="shared" ca="1" si="365"/>
        <v>-87.355382988336004</v>
      </c>
      <c r="P821" s="310">
        <f t="shared" ca="1" si="366"/>
        <v>23</v>
      </c>
      <c r="Q821" s="304">
        <f t="shared" ca="1" si="367"/>
        <v>0</v>
      </c>
      <c r="R821" s="306">
        <f t="shared" ca="1" si="368"/>
        <v>0</v>
      </c>
      <c r="S821" s="307">
        <f t="shared" ca="1" si="369"/>
        <v>6.1519999999999921</v>
      </c>
      <c r="T821" s="304">
        <f t="shared" ca="1" si="349"/>
        <v>60.351119999999923</v>
      </c>
      <c r="U821" s="311">
        <f t="shared" ca="1" si="350"/>
        <v>0</v>
      </c>
      <c r="V821" s="306">
        <f t="shared" ca="1" si="351"/>
        <v>1.2254591499083682</v>
      </c>
      <c r="W821" s="304">
        <f t="shared" ca="1" si="352"/>
        <v>52.193797501103674</v>
      </c>
      <c r="Y821" s="314" t="str">
        <f t="shared" ca="1" si="370"/>
        <v/>
      </c>
      <c r="Z821" s="315" t="str">
        <f t="shared" ca="1" si="371"/>
        <v/>
      </c>
      <c r="AA821" s="316" t="str">
        <f t="shared" ca="1" si="372"/>
        <v/>
      </c>
      <c r="AC821" s="310" t="e">
        <f t="shared" ca="1" si="373"/>
        <v>#N/A</v>
      </c>
      <c r="AD821" s="323" t="e">
        <f t="shared" ca="1" si="374"/>
        <v>#N/A</v>
      </c>
      <c r="AE821" s="324" t="e">
        <f t="shared" ca="1" si="353"/>
        <v>#N/A</v>
      </c>
      <c r="AG821" s="306">
        <f t="shared" ca="1" si="375"/>
        <v>1.3155422989809118</v>
      </c>
      <c r="AH821" s="304">
        <f t="shared" ca="1" si="376"/>
        <v>-8.4840093315860177</v>
      </c>
    </row>
    <row r="822" spans="1:34" x14ac:dyDescent="0.2">
      <c r="A822" s="347">
        <f t="shared" ca="1" si="354"/>
        <v>1E-4</v>
      </c>
      <c r="B822" s="304">
        <f t="shared" ca="1" si="355"/>
        <v>41.404400000000422</v>
      </c>
      <c r="D822" s="306">
        <f t="shared" ca="1" si="356"/>
        <v>-0.39146100168846532</v>
      </c>
      <c r="E822" s="307">
        <f t="shared" ca="1" si="357"/>
        <v>-1.3349986856142575</v>
      </c>
      <c r="F822" s="304">
        <f t="shared" ca="1" si="358"/>
        <v>1.3912092604761988</v>
      </c>
      <c r="G822" s="306">
        <f t="shared" ca="1" si="359"/>
        <v>6.232229351474647</v>
      </c>
      <c r="H822" s="307">
        <f t="shared" ca="1" si="360"/>
        <v>-134.92668679823728</v>
      </c>
      <c r="I822" s="304">
        <f t="shared" ca="1" si="361"/>
        <v>135.07054265471433</v>
      </c>
      <c r="J822" s="306">
        <f t="shared" ca="1" si="362"/>
        <v>568.62651553779426</v>
      </c>
      <c r="K822" s="307">
        <f t="shared" ca="1" si="363"/>
        <v>-3.7609528748010046</v>
      </c>
      <c r="L822" s="304">
        <f t="shared" ca="1" si="348"/>
        <v>568.63895306176471</v>
      </c>
      <c r="M822" s="306">
        <f t="shared" ca="1" si="364"/>
        <v>-1.5246393876024373</v>
      </c>
      <c r="N822" s="304">
        <f t="shared" ca="1" si="365"/>
        <v>-87.355402189030102</v>
      </c>
      <c r="P822" s="310">
        <f t="shared" ca="1" si="366"/>
        <v>23</v>
      </c>
      <c r="Q822" s="304">
        <f t="shared" ca="1" si="367"/>
        <v>0</v>
      </c>
      <c r="R822" s="306">
        <f t="shared" ca="1" si="368"/>
        <v>0</v>
      </c>
      <c r="S822" s="307">
        <f t="shared" ca="1" si="369"/>
        <v>6.1519999999999921</v>
      </c>
      <c r="T822" s="304">
        <f t="shared" ca="1" si="349"/>
        <v>60.351119999999923</v>
      </c>
      <c r="U822" s="311">
        <f t="shared" ca="1" si="350"/>
        <v>0</v>
      </c>
      <c r="V822" s="306">
        <f t="shared" ca="1" si="351"/>
        <v>1.2254608033801528</v>
      </c>
      <c r="W822" s="304">
        <f t="shared" ca="1" si="352"/>
        <v>52.193969592678144</v>
      </c>
      <c r="Y822" s="314" t="str">
        <f t="shared" ca="1" si="370"/>
        <v/>
      </c>
      <c r="Z822" s="315" t="str">
        <f t="shared" ca="1" si="371"/>
        <v/>
      </c>
      <c r="AA822" s="316" t="str">
        <f t="shared" ca="1" si="372"/>
        <v/>
      </c>
      <c r="AC822" s="310" t="e">
        <f t="shared" ca="1" si="373"/>
        <v>#N/A</v>
      </c>
      <c r="AD822" s="323" t="e">
        <f t="shared" ca="1" si="374"/>
        <v>#N/A</v>
      </c>
      <c r="AE822" s="324" t="e">
        <f t="shared" ca="1" si="353"/>
        <v>#N/A</v>
      </c>
      <c r="AG822" s="306">
        <f t="shared" ca="1" si="375"/>
        <v>1.3155144771351388</v>
      </c>
      <c r="AH822" s="304">
        <f t="shared" ca="1" si="376"/>
        <v>-8.4840373051208946</v>
      </c>
    </row>
    <row r="823" spans="1:34" x14ac:dyDescent="0.2">
      <c r="A823" s="347">
        <f t="shared" ca="1" si="354"/>
        <v>1E-4</v>
      </c>
      <c r="B823" s="304">
        <f t="shared" ca="1" si="355"/>
        <v>41.404500000000425</v>
      </c>
      <c r="D823" s="306">
        <f t="shared" ca="1" si="356"/>
        <v>-0.39145945228781448</v>
      </c>
      <c r="E823" s="307">
        <f t="shared" ca="1" si="357"/>
        <v>-1.3349706109500392</v>
      </c>
      <c r="F823" s="304">
        <f t="shared" ca="1" si="358"/>
        <v>1.3911818841854564</v>
      </c>
      <c r="G823" s="306">
        <f t="shared" ca="1" si="359"/>
        <v>6.2321902055294185</v>
      </c>
      <c r="H823" s="307">
        <f t="shared" ca="1" si="360"/>
        <v>-134.92682029529837</v>
      </c>
      <c r="I823" s="304">
        <f t="shared" ca="1" si="361"/>
        <v>135.07067420338745</v>
      </c>
      <c r="J823" s="306">
        <f t="shared" ca="1" si="362"/>
        <v>568.62651553779426</v>
      </c>
      <c r="K823" s="307">
        <f t="shared" ca="1" si="363"/>
        <v>-3.7744455501556815</v>
      </c>
      <c r="L823" s="304">
        <f t="shared" ca="1" si="348"/>
        <v>568.63904246179266</v>
      </c>
      <c r="M823" s="306">
        <f t="shared" ca="1" si="364"/>
        <v>-1.5246397227150104</v>
      </c>
      <c r="N823" s="304">
        <f t="shared" ca="1" si="365"/>
        <v>-87.355421389566203</v>
      </c>
      <c r="P823" s="310">
        <f t="shared" ca="1" si="366"/>
        <v>23</v>
      </c>
      <c r="Q823" s="304">
        <f t="shared" ca="1" si="367"/>
        <v>0</v>
      </c>
      <c r="R823" s="306">
        <f t="shared" ca="1" si="368"/>
        <v>0</v>
      </c>
      <c r="S823" s="307">
        <f t="shared" ca="1" si="369"/>
        <v>6.1519999999999921</v>
      </c>
      <c r="T823" s="304">
        <f t="shared" ca="1" si="349"/>
        <v>60.351119999999923</v>
      </c>
      <c r="U823" s="311">
        <f t="shared" ca="1" si="350"/>
        <v>0</v>
      </c>
      <c r="V823" s="306">
        <f t="shared" ca="1" si="351"/>
        <v>1.2254624568558052</v>
      </c>
      <c r="W823" s="304">
        <f t="shared" ca="1" si="352"/>
        <v>52.194141682640556</v>
      </c>
      <c r="Y823" s="314" t="str">
        <f t="shared" ca="1" si="370"/>
        <v/>
      </c>
      <c r="Z823" s="315" t="str">
        <f t="shared" ca="1" si="371"/>
        <v/>
      </c>
      <c r="AA823" s="316" t="str">
        <f t="shared" ca="1" si="372"/>
        <v/>
      </c>
      <c r="AC823" s="310" t="e">
        <f t="shared" ca="1" si="373"/>
        <v>#N/A</v>
      </c>
      <c r="AD823" s="323" t="e">
        <f t="shared" ca="1" si="374"/>
        <v>#N/A</v>
      </c>
      <c r="AE823" s="324" t="e">
        <f t="shared" ca="1" si="353"/>
        <v>#N/A</v>
      </c>
      <c r="AG823" s="306">
        <f t="shared" ca="1" si="375"/>
        <v>1.3154866555490621</v>
      </c>
      <c r="AH823" s="304">
        <f t="shared" ca="1" si="376"/>
        <v>-8.4840652783937269</v>
      </c>
    </row>
    <row r="824" spans="1:34" x14ac:dyDescent="0.2">
      <c r="A824" s="347">
        <f t="shared" ca="1" si="354"/>
        <v>1E-4</v>
      </c>
      <c r="B824" s="304">
        <f t="shared" ca="1" si="355"/>
        <v>41.404600000000428</v>
      </c>
      <c r="D824" s="306">
        <f t="shared" ca="1" si="356"/>
        <v>-0.39145790287967314</v>
      </c>
      <c r="E824" s="307">
        <f t="shared" ca="1" si="357"/>
        <v>-1.3349425365487466</v>
      </c>
      <c r="F824" s="304">
        <f t="shared" ca="1" si="358"/>
        <v>1.3911545081744707</v>
      </c>
      <c r="G824" s="306">
        <f t="shared" ca="1" si="359"/>
        <v>6.2321510597391301</v>
      </c>
      <c r="H824" s="307">
        <f t="shared" ca="1" si="360"/>
        <v>-134.92695378955202</v>
      </c>
      <c r="I824" s="304">
        <f t="shared" ca="1" si="361"/>
        <v>135.07080574927846</v>
      </c>
      <c r="J824" s="306">
        <f t="shared" ca="1" si="362"/>
        <v>568.62651553779426</v>
      </c>
      <c r="K824" s="307">
        <f t="shared" ca="1" si="363"/>
        <v>-3.7879382388599239</v>
      </c>
      <c r="L824" s="304">
        <f t="shared" ca="1" si="348"/>
        <v>568.63913218204982</v>
      </c>
      <c r="M824" s="306">
        <f t="shared" ca="1" si="364"/>
        <v>-1.5246400578248258</v>
      </c>
      <c r="N824" s="304">
        <f t="shared" ca="1" si="365"/>
        <v>-87.355440589944308</v>
      </c>
      <c r="P824" s="310">
        <f t="shared" ca="1" si="366"/>
        <v>23</v>
      </c>
      <c r="Q824" s="304">
        <f t="shared" ca="1" si="367"/>
        <v>0</v>
      </c>
      <c r="R824" s="306">
        <f t="shared" ca="1" si="368"/>
        <v>0</v>
      </c>
      <c r="S824" s="307">
        <f t="shared" ca="1" si="369"/>
        <v>6.1519999999999921</v>
      </c>
      <c r="T824" s="304">
        <f t="shared" ca="1" si="349"/>
        <v>60.351119999999923</v>
      </c>
      <c r="U824" s="311">
        <f t="shared" ca="1" si="350"/>
        <v>0</v>
      </c>
      <c r="V824" s="306">
        <f t="shared" ca="1" si="351"/>
        <v>1.2254641103353248</v>
      </c>
      <c r="W824" s="304">
        <f t="shared" ca="1" si="352"/>
        <v>52.194313770990902</v>
      </c>
      <c r="Y824" s="314" t="str">
        <f t="shared" ca="1" si="370"/>
        <v/>
      </c>
      <c r="Z824" s="315" t="str">
        <f t="shared" ca="1" si="371"/>
        <v/>
      </c>
      <c r="AA824" s="316" t="str">
        <f t="shared" ca="1" si="372"/>
        <v/>
      </c>
      <c r="AC824" s="310" t="e">
        <f t="shared" ca="1" si="373"/>
        <v>#N/A</v>
      </c>
      <c r="AD824" s="323" t="e">
        <f t="shared" ca="1" si="374"/>
        <v>#N/A</v>
      </c>
      <c r="AE824" s="324" t="e">
        <f t="shared" ca="1" si="353"/>
        <v>#N/A</v>
      </c>
      <c r="AG824" s="306">
        <f t="shared" ca="1" si="375"/>
        <v>1.3154588342226745</v>
      </c>
      <c r="AH824" s="304">
        <f t="shared" ca="1" si="376"/>
        <v>-8.4840932514045218</v>
      </c>
    </row>
    <row r="825" spans="1:34" x14ac:dyDescent="0.2">
      <c r="A825" s="347">
        <f t="shared" ca="1" si="354"/>
        <v>1E-4</v>
      </c>
      <c r="B825" s="304">
        <f t="shared" ca="1" si="355"/>
        <v>41.404700000000432</v>
      </c>
      <c r="D825" s="306">
        <f t="shared" ca="1" si="356"/>
        <v>-0.39145635346403984</v>
      </c>
      <c r="E825" s="307">
        <f t="shared" ca="1" si="357"/>
        <v>-1.3349144624103779</v>
      </c>
      <c r="F825" s="304">
        <f t="shared" ca="1" si="358"/>
        <v>1.3911271324432399</v>
      </c>
      <c r="G825" s="306">
        <f t="shared" ca="1" si="359"/>
        <v>6.2321119141037835</v>
      </c>
      <c r="H825" s="307">
        <f t="shared" ca="1" si="360"/>
        <v>-134.92708728099825</v>
      </c>
      <c r="I825" s="304">
        <f t="shared" ca="1" si="361"/>
        <v>135.07093729238736</v>
      </c>
      <c r="J825" s="306">
        <f t="shared" ca="1" si="362"/>
        <v>568.62651553779426</v>
      </c>
      <c r="K825" s="307">
        <f t="shared" ca="1" si="363"/>
        <v>-3.8014309409134515</v>
      </c>
      <c r="L825" s="304">
        <f t="shared" ca="1" si="348"/>
        <v>568.63922222253711</v>
      </c>
      <c r="M825" s="306">
        <f t="shared" ca="1" si="364"/>
        <v>-1.5246403929318837</v>
      </c>
      <c r="N825" s="304">
        <f t="shared" ca="1" si="365"/>
        <v>-87.355459790164403</v>
      </c>
      <c r="P825" s="310">
        <f t="shared" ca="1" si="366"/>
        <v>23</v>
      </c>
      <c r="Q825" s="304">
        <f t="shared" ca="1" si="367"/>
        <v>0</v>
      </c>
      <c r="R825" s="306">
        <f t="shared" ca="1" si="368"/>
        <v>0</v>
      </c>
      <c r="S825" s="307">
        <f t="shared" ca="1" si="369"/>
        <v>6.1519999999999921</v>
      </c>
      <c r="T825" s="304">
        <f t="shared" ca="1" si="349"/>
        <v>60.351119999999923</v>
      </c>
      <c r="U825" s="311">
        <f t="shared" ca="1" si="350"/>
        <v>0</v>
      </c>
      <c r="V825" s="306">
        <f t="shared" ca="1" si="351"/>
        <v>1.2254657638187114</v>
      </c>
      <c r="W825" s="304">
        <f t="shared" ca="1" si="352"/>
        <v>52.19448585772917</v>
      </c>
      <c r="Y825" s="314" t="str">
        <f t="shared" ca="1" si="370"/>
        <v/>
      </c>
      <c r="Z825" s="315" t="str">
        <f t="shared" ca="1" si="371"/>
        <v/>
      </c>
      <c r="AA825" s="316" t="str">
        <f t="shared" ca="1" si="372"/>
        <v/>
      </c>
      <c r="AC825" s="310" t="e">
        <f t="shared" ca="1" si="373"/>
        <v>#N/A</v>
      </c>
      <c r="AD825" s="323" t="e">
        <f t="shared" ca="1" si="374"/>
        <v>#N/A</v>
      </c>
      <c r="AE825" s="324" t="e">
        <f t="shared" ca="1" si="353"/>
        <v>#N/A</v>
      </c>
      <c r="AG825" s="306">
        <f t="shared" ca="1" si="375"/>
        <v>1.3154310131559743</v>
      </c>
      <c r="AH825" s="304">
        <f t="shared" ca="1" si="376"/>
        <v>-8.4841212241532791</v>
      </c>
    </row>
    <row r="826" spans="1:34" x14ac:dyDescent="0.2">
      <c r="A826" s="347">
        <f t="shared" ca="1" si="354"/>
        <v>1E-4</v>
      </c>
      <c r="B826" s="304">
        <f t="shared" ca="1" si="355"/>
        <v>41.404800000000435</v>
      </c>
      <c r="D826" s="306">
        <f t="shared" ca="1" si="356"/>
        <v>-0.39145480404091482</v>
      </c>
      <c r="E826" s="307">
        <f t="shared" ca="1" si="357"/>
        <v>-1.3348863885349402</v>
      </c>
      <c r="F826" s="304">
        <f t="shared" ca="1" si="358"/>
        <v>1.3910997569917718</v>
      </c>
      <c r="G826" s="306">
        <f t="shared" ca="1" si="359"/>
        <v>6.2320727686233797</v>
      </c>
      <c r="H826" s="307">
        <f t="shared" ca="1" si="360"/>
        <v>-134.9272207696371</v>
      </c>
      <c r="I826" s="304">
        <f t="shared" ca="1" si="361"/>
        <v>135.07106883271416</v>
      </c>
      <c r="J826" s="306">
        <f t="shared" ca="1" si="362"/>
        <v>568.62651553779426</v>
      </c>
      <c r="K826" s="307">
        <f t="shared" ca="1" si="363"/>
        <v>-3.8149236563159832</v>
      </c>
      <c r="L826" s="304">
        <f t="shared" ca="1" si="348"/>
        <v>568.6393125832551</v>
      </c>
      <c r="M826" s="306">
        <f t="shared" ca="1" si="364"/>
        <v>-1.524640728036184</v>
      </c>
      <c r="N826" s="304">
        <f t="shared" ca="1" si="365"/>
        <v>-87.355478990226516</v>
      </c>
      <c r="P826" s="310">
        <f t="shared" ca="1" si="366"/>
        <v>23</v>
      </c>
      <c r="Q826" s="304">
        <f t="shared" ca="1" si="367"/>
        <v>0</v>
      </c>
      <c r="R826" s="306">
        <f t="shared" ca="1" si="368"/>
        <v>0</v>
      </c>
      <c r="S826" s="307">
        <f t="shared" ca="1" si="369"/>
        <v>6.1519999999999921</v>
      </c>
      <c r="T826" s="304">
        <f t="shared" ca="1" si="349"/>
        <v>60.351119999999923</v>
      </c>
      <c r="U826" s="311">
        <f t="shared" ca="1" si="350"/>
        <v>0</v>
      </c>
      <c r="V826" s="306">
        <f t="shared" ca="1" si="351"/>
        <v>1.2254674173059654</v>
      </c>
      <c r="W826" s="304">
        <f t="shared" ca="1" si="352"/>
        <v>52.194657942855351</v>
      </c>
      <c r="Y826" s="314" t="str">
        <f t="shared" ca="1" si="370"/>
        <v/>
      </c>
      <c r="Z826" s="315" t="str">
        <f t="shared" ca="1" si="371"/>
        <v/>
      </c>
      <c r="AA826" s="316" t="str">
        <f t="shared" ca="1" si="372"/>
        <v/>
      </c>
      <c r="AC826" s="310" t="e">
        <f t="shared" ca="1" si="373"/>
        <v>#N/A</v>
      </c>
      <c r="AD826" s="323" t="e">
        <f t="shared" ca="1" si="374"/>
        <v>#N/A</v>
      </c>
      <c r="AE826" s="324" t="e">
        <f t="shared" ca="1" si="353"/>
        <v>#N/A</v>
      </c>
      <c r="AG826" s="306">
        <f t="shared" ca="1" si="375"/>
        <v>1.3154031923489704</v>
      </c>
      <c r="AH826" s="304">
        <f t="shared" ca="1" si="376"/>
        <v>-8.4841491966399936</v>
      </c>
    </row>
    <row r="827" spans="1:34" x14ac:dyDescent="0.2">
      <c r="A827" s="347">
        <f t="shared" ca="1" si="354"/>
        <v>1E-4</v>
      </c>
      <c r="B827" s="304">
        <f t="shared" ca="1" si="355"/>
        <v>41.404900000000438</v>
      </c>
      <c r="D827" s="306">
        <f t="shared" ca="1" si="356"/>
        <v>-0.39145325461029862</v>
      </c>
      <c r="E827" s="307">
        <f t="shared" ca="1" si="357"/>
        <v>-1.3348583149224318</v>
      </c>
      <c r="F827" s="304">
        <f t="shared" ca="1" si="358"/>
        <v>1.3910723818200652</v>
      </c>
      <c r="G827" s="306">
        <f t="shared" ca="1" si="359"/>
        <v>6.2320336232979185</v>
      </c>
      <c r="H827" s="307">
        <f t="shared" ca="1" si="360"/>
        <v>-134.9273542554686</v>
      </c>
      <c r="I827" s="304">
        <f t="shared" ca="1" si="361"/>
        <v>135.07120037025894</v>
      </c>
      <c r="J827" s="306">
        <f t="shared" ca="1" si="362"/>
        <v>568.62651553779426</v>
      </c>
      <c r="K827" s="307">
        <f t="shared" ca="1" si="363"/>
        <v>-3.8284163850672384</v>
      </c>
      <c r="L827" s="304">
        <f t="shared" ca="1" si="348"/>
        <v>568.6394032642047</v>
      </c>
      <c r="M827" s="306">
        <f t="shared" ca="1" si="364"/>
        <v>-1.5246410631377267</v>
      </c>
      <c r="N827" s="304">
        <f t="shared" ca="1" si="365"/>
        <v>-87.355498190130618</v>
      </c>
      <c r="P827" s="310">
        <f t="shared" ca="1" si="366"/>
        <v>23</v>
      </c>
      <c r="Q827" s="304">
        <f t="shared" ca="1" si="367"/>
        <v>0</v>
      </c>
      <c r="R827" s="306">
        <f t="shared" ca="1" si="368"/>
        <v>0</v>
      </c>
      <c r="S827" s="307">
        <f t="shared" ca="1" si="369"/>
        <v>6.1519999999999921</v>
      </c>
      <c r="T827" s="304">
        <f t="shared" ca="1" si="349"/>
        <v>60.351119999999923</v>
      </c>
      <c r="U827" s="311">
        <f t="shared" ca="1" si="350"/>
        <v>0</v>
      </c>
      <c r="V827" s="306">
        <f t="shared" ca="1" si="351"/>
        <v>1.225469070797087</v>
      </c>
      <c r="W827" s="304">
        <f t="shared" ca="1" si="352"/>
        <v>52.19483002636953</v>
      </c>
      <c r="Y827" s="314" t="str">
        <f t="shared" ca="1" si="370"/>
        <v/>
      </c>
      <c r="Z827" s="315" t="str">
        <f t="shared" ca="1" si="371"/>
        <v/>
      </c>
      <c r="AA827" s="316" t="str">
        <f t="shared" ca="1" si="372"/>
        <v/>
      </c>
      <c r="AC827" s="310" t="e">
        <f t="shared" ca="1" si="373"/>
        <v>#N/A</v>
      </c>
      <c r="AD827" s="323" t="e">
        <f t="shared" ca="1" si="374"/>
        <v>#N/A</v>
      </c>
      <c r="AE827" s="324" t="e">
        <f t="shared" ca="1" si="353"/>
        <v>#N/A</v>
      </c>
      <c r="AG827" s="306">
        <f t="shared" ca="1" si="375"/>
        <v>1.3153753718016592</v>
      </c>
      <c r="AH827" s="304">
        <f t="shared" ca="1" si="376"/>
        <v>-8.4841771688646652</v>
      </c>
    </row>
    <row r="828" spans="1:34" x14ac:dyDescent="0.2">
      <c r="A828" s="347">
        <f t="shared" ca="1" si="354"/>
        <v>1E-4</v>
      </c>
      <c r="B828" s="304">
        <f t="shared" ca="1" si="355"/>
        <v>41.405000000000442</v>
      </c>
      <c r="D828" s="306">
        <f t="shared" ca="1" si="356"/>
        <v>-0.39145170517219241</v>
      </c>
      <c r="E828" s="307">
        <f t="shared" ca="1" si="357"/>
        <v>-1.3348302415728384</v>
      </c>
      <c r="F828" s="304">
        <f t="shared" ca="1" si="358"/>
        <v>1.3910450069281075</v>
      </c>
      <c r="G828" s="306">
        <f t="shared" ca="1" si="359"/>
        <v>6.231994478127401</v>
      </c>
      <c r="H828" s="307">
        <f t="shared" ca="1" si="360"/>
        <v>-134.92748773849274</v>
      </c>
      <c r="I828" s="304">
        <f t="shared" ca="1" si="361"/>
        <v>135.07133190502165</v>
      </c>
      <c r="J828" s="306">
        <f t="shared" ca="1" si="362"/>
        <v>568.62651553779426</v>
      </c>
      <c r="K828" s="307">
        <f t="shared" ca="1" si="363"/>
        <v>-3.8419091271669363</v>
      </c>
      <c r="L828" s="304">
        <f t="shared" ca="1" si="348"/>
        <v>568.6394942653867</v>
      </c>
      <c r="M828" s="306">
        <f t="shared" ca="1" si="364"/>
        <v>-1.5246413982365119</v>
      </c>
      <c r="N828" s="304">
        <f t="shared" ca="1" si="365"/>
        <v>-87.355517389876724</v>
      </c>
      <c r="P828" s="310">
        <f t="shared" ca="1" si="366"/>
        <v>23</v>
      </c>
      <c r="Q828" s="304">
        <f t="shared" ca="1" si="367"/>
        <v>0</v>
      </c>
      <c r="R828" s="306">
        <f t="shared" ca="1" si="368"/>
        <v>0</v>
      </c>
      <c r="S828" s="307">
        <f t="shared" ca="1" si="369"/>
        <v>6.1519999999999921</v>
      </c>
      <c r="T828" s="304">
        <f t="shared" ca="1" si="349"/>
        <v>60.351119999999923</v>
      </c>
      <c r="U828" s="311">
        <f t="shared" ca="1" si="350"/>
        <v>0</v>
      </c>
      <c r="V828" s="306">
        <f t="shared" ca="1" si="351"/>
        <v>1.2254707242920759</v>
      </c>
      <c r="W828" s="304">
        <f t="shared" ca="1" si="352"/>
        <v>52.195002108271623</v>
      </c>
      <c r="Y828" s="314" t="str">
        <f t="shared" ca="1" si="370"/>
        <v/>
      </c>
      <c r="Z828" s="315" t="str">
        <f t="shared" ca="1" si="371"/>
        <v/>
      </c>
      <c r="AA828" s="316" t="str">
        <f t="shared" ca="1" si="372"/>
        <v/>
      </c>
      <c r="AC828" s="310" t="e">
        <f t="shared" ca="1" si="373"/>
        <v>#N/A</v>
      </c>
      <c r="AD828" s="323" t="e">
        <f t="shared" ca="1" si="374"/>
        <v>#N/A</v>
      </c>
      <c r="AE828" s="324" t="e">
        <f t="shared" ca="1" si="353"/>
        <v>#N/A</v>
      </c>
      <c r="AG828" s="306">
        <f t="shared" ca="1" si="375"/>
        <v>1.3153475515140283</v>
      </c>
      <c r="AH828" s="304">
        <f t="shared" ca="1" si="376"/>
        <v>-8.4842051408273083</v>
      </c>
    </row>
    <row r="829" spans="1:34" x14ac:dyDescent="0.2">
      <c r="A829" s="347">
        <f t="shared" ca="1" si="354"/>
        <v>1E-4</v>
      </c>
      <c r="B829" s="304">
        <f t="shared" ca="1" si="355"/>
        <v>41.405100000000445</v>
      </c>
      <c r="D829" s="306">
        <f t="shared" ca="1" si="356"/>
        <v>-0.39145015572659603</v>
      </c>
      <c r="E829" s="307">
        <f t="shared" ca="1" si="357"/>
        <v>-1.3348021684861759</v>
      </c>
      <c r="F829" s="304">
        <f t="shared" ca="1" si="358"/>
        <v>1.3910176323159149</v>
      </c>
      <c r="G829" s="306">
        <f t="shared" ca="1" si="359"/>
        <v>6.231955333111828</v>
      </c>
      <c r="H829" s="307">
        <f t="shared" ca="1" si="360"/>
        <v>-134.92762121870959</v>
      </c>
      <c r="I829" s="304">
        <f t="shared" ca="1" si="361"/>
        <v>135.07146343700239</v>
      </c>
      <c r="J829" s="306">
        <f t="shared" ca="1" si="362"/>
        <v>568.62651553779426</v>
      </c>
      <c r="K829" s="307">
        <f t="shared" ca="1" si="363"/>
        <v>-3.8554018826147964</v>
      </c>
      <c r="L829" s="304">
        <f t="shared" ca="1" si="348"/>
        <v>568.6395855868019</v>
      </c>
      <c r="M829" s="306">
        <f t="shared" ca="1" si="364"/>
        <v>-1.5246417333325395</v>
      </c>
      <c r="N829" s="304">
        <f t="shared" ca="1" si="365"/>
        <v>-87.355536589464833</v>
      </c>
      <c r="P829" s="310">
        <f t="shared" ca="1" si="366"/>
        <v>23</v>
      </c>
      <c r="Q829" s="304">
        <f t="shared" ca="1" si="367"/>
        <v>0</v>
      </c>
      <c r="R829" s="306">
        <f t="shared" ca="1" si="368"/>
        <v>0</v>
      </c>
      <c r="S829" s="307">
        <f t="shared" ca="1" si="369"/>
        <v>6.1519999999999921</v>
      </c>
      <c r="T829" s="304">
        <f t="shared" ca="1" si="349"/>
        <v>60.351119999999923</v>
      </c>
      <c r="U829" s="311">
        <f t="shared" ca="1" si="350"/>
        <v>0</v>
      </c>
      <c r="V829" s="306">
        <f t="shared" ca="1" si="351"/>
        <v>1.2254723777909315</v>
      </c>
      <c r="W829" s="304">
        <f t="shared" ca="1" si="352"/>
        <v>52.195174188561673</v>
      </c>
      <c r="Y829" s="314" t="str">
        <f t="shared" ca="1" si="370"/>
        <v/>
      </c>
      <c r="Z829" s="315" t="str">
        <f t="shared" ca="1" si="371"/>
        <v/>
      </c>
      <c r="AA829" s="316" t="str">
        <f t="shared" ca="1" si="372"/>
        <v/>
      </c>
      <c r="AC829" s="310" t="e">
        <f t="shared" ca="1" si="373"/>
        <v>#N/A</v>
      </c>
      <c r="AD829" s="323" t="e">
        <f t="shared" ca="1" si="374"/>
        <v>#N/A</v>
      </c>
      <c r="AE829" s="324" t="e">
        <f t="shared" ca="1" si="353"/>
        <v>#N/A</v>
      </c>
      <c r="AG829" s="306">
        <f t="shared" ca="1" si="375"/>
        <v>1.3153197314860918</v>
      </c>
      <c r="AH829" s="304">
        <f t="shared" ca="1" si="376"/>
        <v>-8.4842331125279085</v>
      </c>
    </row>
    <row r="830" spans="1:34" x14ac:dyDescent="0.2">
      <c r="A830" s="347">
        <f t="shared" ca="1" si="354"/>
        <v>1E-4</v>
      </c>
      <c r="B830" s="304">
        <f t="shared" ca="1" si="355"/>
        <v>41.405200000000448</v>
      </c>
      <c r="D830" s="306">
        <f t="shared" ca="1" si="356"/>
        <v>-0.39144860627351019</v>
      </c>
      <c r="E830" s="307">
        <f t="shared" ca="1" si="357"/>
        <v>-1.3347740956624374</v>
      </c>
      <c r="F830" s="304">
        <f t="shared" ca="1" si="358"/>
        <v>1.390990257983481</v>
      </c>
      <c r="G830" s="306">
        <f t="shared" ca="1" si="359"/>
        <v>6.2319161882512004</v>
      </c>
      <c r="H830" s="307">
        <f t="shared" ca="1" si="360"/>
        <v>-134.92775469611917</v>
      </c>
      <c r="I830" s="304">
        <f t="shared" ca="1" si="361"/>
        <v>135.07159496620116</v>
      </c>
      <c r="J830" s="306">
        <f t="shared" ca="1" si="362"/>
        <v>568.62651553779426</v>
      </c>
      <c r="K830" s="307">
        <f t="shared" ca="1" si="363"/>
        <v>-3.868894651410538</v>
      </c>
      <c r="L830" s="304">
        <f t="shared" ca="1" si="348"/>
        <v>568.63967722845109</v>
      </c>
      <c r="M830" s="306">
        <f t="shared" ca="1" si="364"/>
        <v>-1.5246420684258097</v>
      </c>
      <c r="N830" s="304">
        <f t="shared" ca="1" si="365"/>
        <v>-87.355555788894961</v>
      </c>
      <c r="P830" s="310">
        <f t="shared" ca="1" si="366"/>
        <v>23</v>
      </c>
      <c r="Q830" s="304">
        <f t="shared" ca="1" si="367"/>
        <v>0</v>
      </c>
      <c r="R830" s="306">
        <f t="shared" ca="1" si="368"/>
        <v>0</v>
      </c>
      <c r="S830" s="307">
        <f t="shared" ca="1" si="369"/>
        <v>6.1519999999999921</v>
      </c>
      <c r="T830" s="304">
        <f t="shared" ca="1" si="349"/>
        <v>60.351119999999923</v>
      </c>
      <c r="U830" s="311">
        <f t="shared" ca="1" si="350"/>
        <v>0</v>
      </c>
      <c r="V830" s="306">
        <f t="shared" ca="1" si="351"/>
        <v>1.225474031293655</v>
      </c>
      <c r="W830" s="304">
        <f t="shared" ca="1" si="352"/>
        <v>52.195346267239728</v>
      </c>
      <c r="Y830" s="314" t="str">
        <f t="shared" ca="1" si="370"/>
        <v/>
      </c>
      <c r="Z830" s="315" t="str">
        <f t="shared" ca="1" si="371"/>
        <v/>
      </c>
      <c r="AA830" s="316" t="str">
        <f t="shared" ca="1" si="372"/>
        <v/>
      </c>
      <c r="AC830" s="310" t="e">
        <f t="shared" ca="1" si="373"/>
        <v>#N/A</v>
      </c>
      <c r="AD830" s="323" t="e">
        <f t="shared" ca="1" si="374"/>
        <v>#N/A</v>
      </c>
      <c r="AE830" s="324" t="e">
        <f t="shared" ca="1" si="353"/>
        <v>#N/A</v>
      </c>
      <c r="AG830" s="306">
        <f t="shared" ca="1" si="375"/>
        <v>1.315291911717841</v>
      </c>
      <c r="AH830" s="304">
        <f t="shared" ca="1" si="376"/>
        <v>-8.4842610839664729</v>
      </c>
    </row>
    <row r="831" spans="1:34" x14ac:dyDescent="0.2">
      <c r="A831" s="347">
        <f t="shared" ca="1" si="354"/>
        <v>1E-4</v>
      </c>
      <c r="B831" s="304">
        <f t="shared" ca="1" si="355"/>
        <v>41.405300000000452</v>
      </c>
      <c r="D831" s="306">
        <f t="shared" ca="1" si="356"/>
        <v>-0.39144705681293401</v>
      </c>
      <c r="E831" s="307">
        <f t="shared" ca="1" si="357"/>
        <v>-1.3347460231016122</v>
      </c>
      <c r="F831" s="304">
        <f t="shared" ca="1" si="358"/>
        <v>1.3909628839307961</v>
      </c>
      <c r="G831" s="306">
        <f t="shared" ca="1" si="359"/>
        <v>6.2318770435455191</v>
      </c>
      <c r="H831" s="307">
        <f t="shared" ca="1" si="360"/>
        <v>-134.92788817072147</v>
      </c>
      <c r="I831" s="304">
        <f t="shared" ca="1" si="361"/>
        <v>135.07172649261796</v>
      </c>
      <c r="J831" s="306">
        <f t="shared" ca="1" si="362"/>
        <v>568.62651553779426</v>
      </c>
      <c r="K831" s="307">
        <f t="shared" ca="1" si="363"/>
        <v>-3.8823874335538799</v>
      </c>
      <c r="L831" s="304">
        <f t="shared" ca="1" si="348"/>
        <v>568.63976919033507</v>
      </c>
      <c r="M831" s="306">
        <f t="shared" ca="1" si="364"/>
        <v>-1.5246424035163224</v>
      </c>
      <c r="N831" s="304">
        <f t="shared" ca="1" si="365"/>
        <v>-87.355574988167092</v>
      </c>
      <c r="P831" s="310">
        <f t="shared" ca="1" si="366"/>
        <v>23</v>
      </c>
      <c r="Q831" s="304">
        <f t="shared" ca="1" si="367"/>
        <v>0</v>
      </c>
      <c r="R831" s="306">
        <f t="shared" ca="1" si="368"/>
        <v>0</v>
      </c>
      <c r="S831" s="307">
        <f t="shared" ca="1" si="369"/>
        <v>6.1519999999999921</v>
      </c>
      <c r="T831" s="304">
        <f t="shared" ca="1" si="349"/>
        <v>60.351119999999923</v>
      </c>
      <c r="U831" s="311">
        <f t="shared" ca="1" si="350"/>
        <v>0</v>
      </c>
      <c r="V831" s="306">
        <f t="shared" ca="1" si="351"/>
        <v>1.225475684800245</v>
      </c>
      <c r="W831" s="304">
        <f t="shared" ca="1" si="352"/>
        <v>52.19551834430569</v>
      </c>
      <c r="Y831" s="314" t="str">
        <f t="shared" ca="1" si="370"/>
        <v/>
      </c>
      <c r="Z831" s="315" t="str">
        <f t="shared" ca="1" si="371"/>
        <v/>
      </c>
      <c r="AA831" s="316" t="str">
        <f t="shared" ca="1" si="372"/>
        <v/>
      </c>
      <c r="AC831" s="310" t="e">
        <f t="shared" ca="1" si="373"/>
        <v>#N/A</v>
      </c>
      <c r="AD831" s="323" t="e">
        <f t="shared" ca="1" si="374"/>
        <v>#N/A</v>
      </c>
      <c r="AE831" s="324" t="e">
        <f t="shared" ca="1" si="353"/>
        <v>#N/A</v>
      </c>
      <c r="AG831" s="306">
        <f t="shared" ca="1" si="375"/>
        <v>1.3152640922092722</v>
      </c>
      <c r="AH831" s="304">
        <f t="shared" ca="1" si="376"/>
        <v>-8.4842890551430088</v>
      </c>
    </row>
    <row r="832" spans="1:34" x14ac:dyDescent="0.2">
      <c r="A832" s="347">
        <f t="shared" ca="1" si="354"/>
        <v>1E-4</v>
      </c>
      <c r="B832" s="304">
        <f t="shared" ca="1" si="355"/>
        <v>41.405400000000455</v>
      </c>
      <c r="D832" s="306">
        <f t="shared" ca="1" si="356"/>
        <v>-0.3914455073448691</v>
      </c>
      <c r="E832" s="307">
        <f t="shared" ca="1" si="357"/>
        <v>-1.3347179508037179</v>
      </c>
      <c r="F832" s="304">
        <f t="shared" ca="1" si="358"/>
        <v>1.3909355101578786</v>
      </c>
      <c r="G832" s="306">
        <f t="shared" ca="1" si="359"/>
        <v>6.2318378989947849</v>
      </c>
      <c r="H832" s="307">
        <f t="shared" ca="1" si="360"/>
        <v>-134.92802164251654</v>
      </c>
      <c r="I832" s="304">
        <f t="shared" ca="1" si="361"/>
        <v>135.07185801625283</v>
      </c>
      <c r="J832" s="306">
        <f t="shared" ca="1" si="362"/>
        <v>568.62651553779426</v>
      </c>
      <c r="K832" s="307">
        <f t="shared" ca="1" si="363"/>
        <v>-3.895880229044542</v>
      </c>
      <c r="L832" s="304">
        <f t="shared" ca="1" si="348"/>
        <v>568.63986147245464</v>
      </c>
      <c r="M832" s="306">
        <f t="shared" ca="1" si="364"/>
        <v>-1.524642738604078</v>
      </c>
      <c r="N832" s="304">
        <f t="shared" ca="1" si="365"/>
        <v>-87.355594187281255</v>
      </c>
      <c r="P832" s="310">
        <f t="shared" ca="1" si="366"/>
        <v>23</v>
      </c>
      <c r="Q832" s="304">
        <f t="shared" ca="1" si="367"/>
        <v>0</v>
      </c>
      <c r="R832" s="306">
        <f t="shared" ca="1" si="368"/>
        <v>0</v>
      </c>
      <c r="S832" s="307">
        <f t="shared" ca="1" si="369"/>
        <v>6.1519999999999921</v>
      </c>
      <c r="T832" s="304">
        <f t="shared" ca="1" si="349"/>
        <v>60.351119999999923</v>
      </c>
      <c r="U832" s="311">
        <f t="shared" ca="1" si="350"/>
        <v>0</v>
      </c>
      <c r="V832" s="306">
        <f t="shared" ca="1" si="351"/>
        <v>1.2254773383107023</v>
      </c>
      <c r="W832" s="304">
        <f t="shared" ca="1" si="352"/>
        <v>52.195690419759629</v>
      </c>
      <c r="Y832" s="314" t="str">
        <f t="shared" ca="1" si="370"/>
        <v/>
      </c>
      <c r="Z832" s="315" t="str">
        <f t="shared" ca="1" si="371"/>
        <v/>
      </c>
      <c r="AA832" s="316" t="str">
        <f t="shared" ca="1" si="372"/>
        <v/>
      </c>
      <c r="AC832" s="310" t="e">
        <f t="shared" ca="1" si="373"/>
        <v>#N/A</v>
      </c>
      <c r="AD832" s="323" t="e">
        <f t="shared" ca="1" si="374"/>
        <v>#N/A</v>
      </c>
      <c r="AE832" s="324" t="e">
        <f t="shared" ca="1" si="353"/>
        <v>#N/A</v>
      </c>
      <c r="AG832" s="306">
        <f t="shared" ca="1" si="375"/>
        <v>1.3152362729603979</v>
      </c>
      <c r="AH832" s="304">
        <f t="shared" ca="1" si="376"/>
        <v>-8.4843170260575018</v>
      </c>
    </row>
    <row r="833" spans="1:34" x14ac:dyDescent="0.2">
      <c r="A833" s="347">
        <f t="shared" ca="1" si="354"/>
        <v>1E-4</v>
      </c>
      <c r="B833" s="304">
        <f t="shared" ca="1" si="355"/>
        <v>41.405500000000458</v>
      </c>
      <c r="D833" s="306">
        <f t="shared" ca="1" si="356"/>
        <v>-0.39144395786931269</v>
      </c>
      <c r="E833" s="307">
        <f t="shared" ca="1" si="357"/>
        <v>-1.334689878768744</v>
      </c>
      <c r="F833" s="304">
        <f t="shared" ca="1" si="358"/>
        <v>1.3909081366647176</v>
      </c>
      <c r="G833" s="306">
        <f t="shared" ca="1" si="359"/>
        <v>6.2317987545989979</v>
      </c>
      <c r="H833" s="307">
        <f t="shared" ca="1" si="360"/>
        <v>-134.92815511150442</v>
      </c>
      <c r="I833" s="304">
        <f t="shared" ca="1" si="361"/>
        <v>135.07198953710579</v>
      </c>
      <c r="J833" s="306">
        <f t="shared" ca="1" si="362"/>
        <v>568.62651553779426</v>
      </c>
      <c r="K833" s="307">
        <f t="shared" ca="1" si="363"/>
        <v>-3.9093730378822431</v>
      </c>
      <c r="L833" s="304">
        <f t="shared" ca="1" si="348"/>
        <v>568.63995407481059</v>
      </c>
      <c r="M833" s="306">
        <f t="shared" ca="1" si="364"/>
        <v>-1.5246430736890759</v>
      </c>
      <c r="N833" s="304">
        <f t="shared" ca="1" si="365"/>
        <v>-87.355613386237422</v>
      </c>
      <c r="P833" s="310">
        <f t="shared" ca="1" si="366"/>
        <v>23</v>
      </c>
      <c r="Q833" s="304">
        <f t="shared" ca="1" si="367"/>
        <v>0</v>
      </c>
      <c r="R833" s="306">
        <f t="shared" ca="1" si="368"/>
        <v>0</v>
      </c>
      <c r="S833" s="307">
        <f t="shared" ca="1" si="369"/>
        <v>6.1519999999999921</v>
      </c>
      <c r="T833" s="304">
        <f t="shared" ca="1" si="349"/>
        <v>60.351119999999923</v>
      </c>
      <c r="U833" s="311">
        <f t="shared" ca="1" si="350"/>
        <v>0</v>
      </c>
      <c r="V833" s="306">
        <f t="shared" ca="1" si="351"/>
        <v>1.2254789918250268</v>
      </c>
      <c r="W833" s="304">
        <f t="shared" ca="1" si="352"/>
        <v>52.195862493601545</v>
      </c>
      <c r="Y833" s="314" t="str">
        <f t="shared" ca="1" si="370"/>
        <v/>
      </c>
      <c r="Z833" s="315" t="str">
        <f t="shared" ca="1" si="371"/>
        <v/>
      </c>
      <c r="AA833" s="316" t="str">
        <f t="shared" ca="1" si="372"/>
        <v/>
      </c>
      <c r="AC833" s="310" t="e">
        <f t="shared" ca="1" si="373"/>
        <v>#N/A</v>
      </c>
      <c r="AD833" s="323" t="e">
        <f t="shared" ca="1" si="374"/>
        <v>#N/A</v>
      </c>
      <c r="AE833" s="324" t="e">
        <f t="shared" ca="1" si="353"/>
        <v>#N/A</v>
      </c>
      <c r="AG833" s="306">
        <f t="shared" ca="1" si="375"/>
        <v>1.3152084539712074</v>
      </c>
      <c r="AH833" s="304">
        <f t="shared" ca="1" si="376"/>
        <v>-8.4843449967099627</v>
      </c>
    </row>
    <row r="834" spans="1:34" x14ac:dyDescent="0.2">
      <c r="A834" s="347">
        <f t="shared" ca="1" si="354"/>
        <v>1E-4</v>
      </c>
      <c r="B834" s="304">
        <f t="shared" ca="1" si="355"/>
        <v>41.405600000000462</v>
      </c>
      <c r="D834" s="306">
        <f t="shared" ca="1" si="356"/>
        <v>-0.39144240838626909</v>
      </c>
      <c r="E834" s="307">
        <f t="shared" ca="1" si="357"/>
        <v>-1.3346618069966887</v>
      </c>
      <c r="F834" s="304">
        <f t="shared" ca="1" si="358"/>
        <v>1.3908807634513136</v>
      </c>
      <c r="G834" s="306">
        <f t="shared" ca="1" si="359"/>
        <v>6.231759610358159</v>
      </c>
      <c r="H834" s="307">
        <f t="shared" ca="1" si="360"/>
        <v>-134.92828857768512</v>
      </c>
      <c r="I834" s="304">
        <f t="shared" ca="1" si="361"/>
        <v>135.07212105517689</v>
      </c>
      <c r="J834" s="306">
        <f t="shared" ca="1" si="362"/>
        <v>568.62651553779426</v>
      </c>
      <c r="K834" s="307">
        <f t="shared" ca="1" si="363"/>
        <v>-3.9228658600667026</v>
      </c>
      <c r="L834" s="304">
        <f t="shared" ca="1" si="348"/>
        <v>568.6400469974036</v>
      </c>
      <c r="M834" s="306">
        <f t="shared" ca="1" si="364"/>
        <v>-1.5246434087713165</v>
      </c>
      <c r="N834" s="304">
        <f t="shared" ca="1" si="365"/>
        <v>-87.355632585035593</v>
      </c>
      <c r="P834" s="310">
        <f t="shared" ca="1" si="366"/>
        <v>23</v>
      </c>
      <c r="Q834" s="304">
        <f t="shared" ca="1" si="367"/>
        <v>0</v>
      </c>
      <c r="R834" s="306">
        <f t="shared" ca="1" si="368"/>
        <v>0</v>
      </c>
      <c r="S834" s="307">
        <f t="shared" ca="1" si="369"/>
        <v>6.1519999999999921</v>
      </c>
      <c r="T834" s="304">
        <f t="shared" ca="1" si="349"/>
        <v>60.351119999999923</v>
      </c>
      <c r="U834" s="311">
        <f t="shared" ca="1" si="350"/>
        <v>0</v>
      </c>
      <c r="V834" s="306">
        <f t="shared" ca="1" si="351"/>
        <v>1.2254806453432185</v>
      </c>
      <c r="W834" s="304">
        <f t="shared" ca="1" si="352"/>
        <v>52.196034565831454</v>
      </c>
      <c r="Y834" s="314" t="str">
        <f t="shared" ca="1" si="370"/>
        <v/>
      </c>
      <c r="Z834" s="315" t="str">
        <f t="shared" ca="1" si="371"/>
        <v/>
      </c>
      <c r="AA834" s="316" t="str">
        <f t="shared" ca="1" si="372"/>
        <v/>
      </c>
      <c r="AC834" s="310" t="e">
        <f t="shared" ca="1" si="373"/>
        <v>#N/A</v>
      </c>
      <c r="AD834" s="323" t="e">
        <f t="shared" ca="1" si="374"/>
        <v>#N/A</v>
      </c>
      <c r="AE834" s="324" t="e">
        <f t="shared" ca="1" si="353"/>
        <v>#N/A</v>
      </c>
      <c r="AG834" s="306">
        <f t="shared" ca="1" si="375"/>
        <v>1.3151806352417008</v>
      </c>
      <c r="AH834" s="304">
        <f t="shared" ca="1" si="376"/>
        <v>-8.4843729671003913</v>
      </c>
    </row>
    <row r="835" spans="1:34" x14ac:dyDescent="0.2">
      <c r="A835" s="347">
        <f t="shared" ca="1" si="354"/>
        <v>1E-4</v>
      </c>
      <c r="B835" s="304">
        <f t="shared" ca="1" si="355"/>
        <v>41.405700000000465</v>
      </c>
      <c r="D835" s="306">
        <f t="shared" ca="1" si="356"/>
        <v>-0.39144085889573693</v>
      </c>
      <c r="E835" s="307">
        <f t="shared" ca="1" si="357"/>
        <v>-1.3346337354875484</v>
      </c>
      <c r="F835" s="304">
        <f t="shared" ca="1" si="358"/>
        <v>1.3908533905176632</v>
      </c>
      <c r="G835" s="306">
        <f t="shared" ca="1" si="359"/>
        <v>6.2317204662722689</v>
      </c>
      <c r="H835" s="307">
        <f t="shared" ca="1" si="360"/>
        <v>-134.92842204105867</v>
      </c>
      <c r="I835" s="304">
        <f t="shared" ca="1" si="361"/>
        <v>135.07225257046616</v>
      </c>
      <c r="J835" s="306">
        <f t="shared" ca="1" si="362"/>
        <v>568.62651553779426</v>
      </c>
      <c r="K835" s="307">
        <f t="shared" ca="1" si="363"/>
        <v>-3.9363586955976397</v>
      </c>
      <c r="L835" s="304">
        <f t="shared" ca="1" si="348"/>
        <v>568.6401402402347</v>
      </c>
      <c r="M835" s="306">
        <f t="shared" ca="1" si="364"/>
        <v>-1.5246437438508</v>
      </c>
      <c r="N835" s="304">
        <f t="shared" ca="1" si="365"/>
        <v>-87.355651783675796</v>
      </c>
      <c r="P835" s="310">
        <f t="shared" ca="1" si="366"/>
        <v>23</v>
      </c>
      <c r="Q835" s="304">
        <f t="shared" ca="1" si="367"/>
        <v>0</v>
      </c>
      <c r="R835" s="306">
        <f t="shared" ca="1" si="368"/>
        <v>0</v>
      </c>
      <c r="S835" s="307">
        <f t="shared" ca="1" si="369"/>
        <v>6.1519999999999921</v>
      </c>
      <c r="T835" s="304">
        <f t="shared" ca="1" si="349"/>
        <v>60.351119999999923</v>
      </c>
      <c r="U835" s="311">
        <f t="shared" ca="1" si="350"/>
        <v>0</v>
      </c>
      <c r="V835" s="306">
        <f t="shared" ca="1" si="351"/>
        <v>1.2254822988652776</v>
      </c>
      <c r="W835" s="304">
        <f t="shared" ca="1" si="352"/>
        <v>52.196206636449368</v>
      </c>
      <c r="Y835" s="314" t="str">
        <f t="shared" ca="1" si="370"/>
        <v/>
      </c>
      <c r="Z835" s="315" t="str">
        <f t="shared" ca="1" si="371"/>
        <v/>
      </c>
      <c r="AA835" s="316" t="str">
        <f t="shared" ca="1" si="372"/>
        <v/>
      </c>
      <c r="AC835" s="310" t="e">
        <f t="shared" ca="1" si="373"/>
        <v>#N/A</v>
      </c>
      <c r="AD835" s="323" t="e">
        <f t="shared" ca="1" si="374"/>
        <v>#N/A</v>
      </c>
      <c r="AE835" s="324" t="e">
        <f t="shared" ca="1" si="353"/>
        <v>#N/A</v>
      </c>
      <c r="AG835" s="306">
        <f t="shared" ca="1" si="375"/>
        <v>1.3151528167718727</v>
      </c>
      <c r="AH835" s="304">
        <f t="shared" ca="1" si="376"/>
        <v>-8.4844009372287914</v>
      </c>
    </row>
    <row r="836" spans="1:34" x14ac:dyDescent="0.2">
      <c r="A836" s="347">
        <f t="shared" ca="1" si="354"/>
        <v>1E-4</v>
      </c>
      <c r="B836" s="304">
        <f t="shared" ca="1" si="355"/>
        <v>41.405800000000468</v>
      </c>
      <c r="D836" s="306">
        <f t="shared" ca="1" si="356"/>
        <v>-0.39143930939771493</v>
      </c>
      <c r="E836" s="307">
        <f t="shared" ca="1" si="357"/>
        <v>-1.3346056642413249</v>
      </c>
      <c r="F836" s="304">
        <f t="shared" ca="1" si="358"/>
        <v>1.3908260178637686</v>
      </c>
      <c r="G836" s="306">
        <f t="shared" ca="1" si="359"/>
        <v>6.2316813223413288</v>
      </c>
      <c r="H836" s="307">
        <f t="shared" ca="1" si="360"/>
        <v>-134.92855550162508</v>
      </c>
      <c r="I836" s="304">
        <f t="shared" ca="1" si="361"/>
        <v>135.0723840829736</v>
      </c>
      <c r="J836" s="306">
        <f t="shared" ca="1" si="362"/>
        <v>568.62651553779426</v>
      </c>
      <c r="K836" s="307">
        <f t="shared" ca="1" si="363"/>
        <v>-3.9498515444747739</v>
      </c>
      <c r="L836" s="304">
        <f t="shared" ref="L836:L899" ca="1" si="377">SQRT(pos_x^2+pos_z^2)</f>
        <v>568.64023380330445</v>
      </c>
      <c r="M836" s="306">
        <f t="shared" ca="1" si="364"/>
        <v>-1.5246440789275262</v>
      </c>
      <c r="N836" s="304">
        <f t="shared" ca="1" si="365"/>
        <v>-87.355670982158017</v>
      </c>
      <c r="P836" s="310">
        <f t="shared" ca="1" si="366"/>
        <v>23</v>
      </c>
      <c r="Q836" s="304">
        <f t="shared" ca="1" si="367"/>
        <v>0</v>
      </c>
      <c r="R836" s="306">
        <f t="shared" ca="1" si="368"/>
        <v>0</v>
      </c>
      <c r="S836" s="307">
        <f t="shared" ca="1" si="369"/>
        <v>6.1519999999999921</v>
      </c>
      <c r="T836" s="304">
        <f t="shared" ref="T836:T899" ca="1" si="378">m*g</f>
        <v>60.351119999999923</v>
      </c>
      <c r="U836" s="311">
        <f t="shared" ref="U836:U899" ca="1" si="379">IF(pos_xz&lt;L_rampe,Poids*COS(Beta),0)</f>
        <v>0</v>
      </c>
      <c r="V836" s="306">
        <f t="shared" ref="V836:V899" ca="1" si="380">Rho_moyen*(20000-Alt_rampe-pos_z)/(20000+Alt_rampe+pos_z)</f>
        <v>1.2254839523912033</v>
      </c>
      <c r="W836" s="304">
        <f t="shared" ref="W836:W899" ca="1" si="381">1/2*Rho*Sref*Cx*vit_xz^2</f>
        <v>52.196378705455267</v>
      </c>
      <c r="Y836" s="314" t="str">
        <f t="shared" ca="1" si="370"/>
        <v/>
      </c>
      <c r="Z836" s="315" t="str">
        <f t="shared" ca="1" si="371"/>
        <v/>
      </c>
      <c r="AA836" s="316" t="str">
        <f t="shared" ca="1" si="372"/>
        <v/>
      </c>
      <c r="AC836" s="310" t="e">
        <f t="shared" ca="1" si="373"/>
        <v>#N/A</v>
      </c>
      <c r="AD836" s="323" t="e">
        <f t="shared" ca="1" si="374"/>
        <v>#N/A</v>
      </c>
      <c r="AE836" s="324" t="e">
        <f t="shared" ref="AE836:AE899" ca="1" si="382">IF(t&lt;T_para, pos_z, NA())</f>
        <v>#N/A</v>
      </c>
      <c r="AG836" s="306">
        <f t="shared" ca="1" si="375"/>
        <v>1.3151249985617302</v>
      </c>
      <c r="AH836" s="304">
        <f t="shared" ca="1" si="376"/>
        <v>-8.4844289070951611</v>
      </c>
    </row>
    <row r="837" spans="1:34" x14ac:dyDescent="0.2">
      <c r="A837" s="347">
        <f t="shared" ref="A837:A900" ca="1" si="383">IF(B836+0.01&lt;=T_ini+ROUNDUP(Temps_fin_propu,0), 0.01, IF(K836&gt;0, 0.1, 0.0001))</f>
        <v>1E-4</v>
      </c>
      <c r="B837" s="304">
        <f t="shared" ref="B837:B900" ca="1" si="384">B836+pas</f>
        <v>41.405900000000472</v>
      </c>
      <c r="D837" s="306">
        <f t="shared" ref="D837:D900" ca="1" si="385">IF(AND(L836&lt;L_rampe,Poussee&lt;Poids*SIN(M836)),0,(-W836+Poussee)/m*COS(M836)-U836/m*SIN(M836))</f>
        <v>-0.39143775989220553</v>
      </c>
      <c r="E837" s="307">
        <f t="shared" ref="E837:E900" ca="1" si="386">IF(AND(L836&lt;L_rampe,Poussee&lt;Poids*SIN(M836)),0,(-W836+Poussee)/m*SIN(M836)+U836/m*COS(M836)-Poids/m)</f>
        <v>-1.3345775932580182</v>
      </c>
      <c r="F837" s="304">
        <f t="shared" ref="F837:F900" ca="1" si="387">SQRT(acc_x^2+acc_z^2)</f>
        <v>1.3907986454896308</v>
      </c>
      <c r="G837" s="306">
        <f t="shared" ref="G837:G900" ca="1" si="388">G836+acc_x*pas</f>
        <v>6.2316421785653393</v>
      </c>
      <c r="H837" s="307">
        <f t="shared" ref="H837:H900" ca="1" si="389">H836+acc_z*pas</f>
        <v>-134.9286889593844</v>
      </c>
      <c r="I837" s="304">
        <f t="shared" ref="I837:I900" ca="1" si="390">SQRT(vit_x^2+vit_z^2)</f>
        <v>135.07251559269923</v>
      </c>
      <c r="J837" s="306">
        <f t="shared" ref="J837:J900" ca="1" si="391">J836+0.5*(vit_x+G836)*pas*(K836&gt;=0)</f>
        <v>568.62651553779426</v>
      </c>
      <c r="K837" s="307">
        <f t="shared" ref="K837:K900" ca="1" si="392">K836+0.5*(vit_z+H836)*pas</f>
        <v>-3.9633444066978245</v>
      </c>
      <c r="L837" s="304">
        <f t="shared" ca="1" si="377"/>
        <v>568.64032768661377</v>
      </c>
      <c r="M837" s="306">
        <f t="shared" ref="M837:M900" ca="1" si="393">IF(AND(L836&gt;L_rampe,G837&gt;0),ATAN2(G837,H837),$M$4)</f>
        <v>-1.5246444140014952</v>
      </c>
      <c r="N837" s="304">
        <f t="shared" ref="N837:N900" ca="1" si="394">DEGREES(Beta)</f>
        <v>-87.35569018048227</v>
      </c>
      <c r="P837" s="310">
        <f t="shared" ref="P837:P900" ca="1" si="395">MATCH(t-pas/2-T_ini,CdP_t)</f>
        <v>23</v>
      </c>
      <c r="Q837" s="304">
        <f t="shared" ref="Q837:Q900" ca="1" si="396">(INDEX(CdP,2,i_P+1)-INDEX(CdP,2,i_P+0))/(INDEX(CdP,1,i_P+1)-INDEX(CdP,1,i_P+0))*(t-pas/2-T_ini-INDEX(CdP,1,i_P+0))+INDEX(CdP,2,i_P+0)</f>
        <v>0</v>
      </c>
      <c r="R837" s="306">
        <f t="shared" ref="R837:R900" ca="1" si="397">Poussee/(g*ISP)</f>
        <v>0</v>
      </c>
      <c r="S837" s="307">
        <f t="shared" ref="S837:S900" ca="1" si="398">S836-Débit*pas</f>
        <v>6.1519999999999921</v>
      </c>
      <c r="T837" s="304">
        <f t="shared" ca="1" si="378"/>
        <v>60.351119999999923</v>
      </c>
      <c r="U837" s="311">
        <f t="shared" ca="1" si="379"/>
        <v>0</v>
      </c>
      <c r="V837" s="306">
        <f t="shared" ca="1" si="380"/>
        <v>1.225485605920996</v>
      </c>
      <c r="W837" s="304">
        <f t="shared" ca="1" si="381"/>
        <v>52.196550772849143</v>
      </c>
      <c r="Y837" s="314" t="str">
        <f t="shared" ref="Y837:Y900" ca="1" si="399">IF(AND(pos_z&lt;=0,K836&gt;0),"Impact balistique","") &amp; IF(AND(H838&lt;0,vit_z&gt;=0),"Apogée","") &amp; IF(AND(Poussee=0,Q836&gt;0),"Fin de propulsion","") &amp; IF(AND(L838&gt;L_rampe,pos_xz&lt;=L_rampe),"Sortie de rampe","")</f>
        <v/>
      </c>
      <c r="Z837" s="315" t="str">
        <f t="shared" ref="Z837:Z900" ca="1" si="400">IF(ABS(t-T_para)&lt;pas/2,"Para","")</f>
        <v/>
      </c>
      <c r="AA837" s="316" t="str">
        <f t="shared" ref="AA837:AA900" ca="1" si="401">IF(ABS(t-T_satellite)&lt;pas/2,"Satellite","")</f>
        <v/>
      </c>
      <c r="AC837" s="310" t="e">
        <f t="shared" ref="AC837:AC900" ca="1" si="402">IF(ABS(t-ROUND(t,0))&lt;0.001,t,NA())</f>
        <v>#N/A</v>
      </c>
      <c r="AD837" s="323" t="e">
        <f t="shared" ref="AD837:AD900" ca="1" si="403">IF(ABS(t-ROUND(t,0))&lt;0.001,pos_x,NA())</f>
        <v>#N/A</v>
      </c>
      <c r="AE837" s="324" t="e">
        <f t="shared" ca="1" si="382"/>
        <v>#N/A</v>
      </c>
      <c r="AG837" s="306">
        <f t="shared" ref="AG837:AG900" ca="1" si="404">IF(AND(L836&lt;L_rampe,Poussee&lt;Poids*SIN(M836)),0,(-W836+Poussee)/m-Poids*SIN(M836)/m)</f>
        <v>1.3150971806112643</v>
      </c>
      <c r="AH837" s="304">
        <f t="shared" ref="AH837:AH900" ca="1" si="405">IF(AND(L836&lt;L_rampe,Poussee&lt;Poids*SIN(M836)), g*SIN(M836), (-W836+Poussee)/m)</f>
        <v>-8.4844568766995021</v>
      </c>
    </row>
    <row r="838" spans="1:34" x14ac:dyDescent="0.2">
      <c r="A838" s="347">
        <f t="shared" ca="1" si="383"/>
        <v>1E-4</v>
      </c>
      <c r="B838" s="304">
        <f t="shared" ca="1" si="384"/>
        <v>41.406000000000475</v>
      </c>
      <c r="D838" s="306">
        <f t="shared" ca="1" si="385"/>
        <v>-0.39143621037920695</v>
      </c>
      <c r="E838" s="307">
        <f t="shared" ca="1" si="386"/>
        <v>-1.3345495225376336</v>
      </c>
      <c r="F838" s="304">
        <f t="shared" ca="1" si="387"/>
        <v>1.3907712733952555</v>
      </c>
      <c r="G838" s="306">
        <f t="shared" ca="1" si="388"/>
        <v>6.2316030349443015</v>
      </c>
      <c r="H838" s="307">
        <f t="shared" ca="1" si="389"/>
        <v>-134.92882241433665</v>
      </c>
      <c r="I838" s="304">
        <f t="shared" ca="1" si="390"/>
        <v>135.07264709964309</v>
      </c>
      <c r="J838" s="306">
        <f t="shared" ca="1" si="391"/>
        <v>568.62651553779426</v>
      </c>
      <c r="K838" s="307">
        <f t="shared" ca="1" si="392"/>
        <v>-3.9768372822665103</v>
      </c>
      <c r="L838" s="304">
        <f t="shared" ca="1" si="377"/>
        <v>568.64042189016334</v>
      </c>
      <c r="M838" s="306">
        <f t="shared" ca="1" si="393"/>
        <v>-1.5246447490727069</v>
      </c>
      <c r="N838" s="304">
        <f t="shared" ca="1" si="394"/>
        <v>-87.355709378648541</v>
      </c>
      <c r="P838" s="310">
        <f t="shared" ca="1" si="395"/>
        <v>23</v>
      </c>
      <c r="Q838" s="304">
        <f t="shared" ca="1" si="396"/>
        <v>0</v>
      </c>
      <c r="R838" s="306">
        <f t="shared" ca="1" si="397"/>
        <v>0</v>
      </c>
      <c r="S838" s="307">
        <f t="shared" ca="1" si="398"/>
        <v>6.1519999999999921</v>
      </c>
      <c r="T838" s="304">
        <f t="shared" ca="1" si="378"/>
        <v>60.351119999999923</v>
      </c>
      <c r="U838" s="311">
        <f t="shared" ca="1" si="379"/>
        <v>0</v>
      </c>
      <c r="V838" s="306">
        <f t="shared" ca="1" si="380"/>
        <v>1.225487259454656</v>
      </c>
      <c r="W838" s="304">
        <f t="shared" ca="1" si="381"/>
        <v>52.196722838631032</v>
      </c>
      <c r="Y838" s="314" t="str">
        <f t="shared" ca="1" si="399"/>
        <v/>
      </c>
      <c r="Z838" s="315" t="str">
        <f t="shared" ca="1" si="400"/>
        <v/>
      </c>
      <c r="AA838" s="316" t="str">
        <f t="shared" ca="1" si="401"/>
        <v/>
      </c>
      <c r="AC838" s="310" t="e">
        <f t="shared" ca="1" si="402"/>
        <v>#N/A</v>
      </c>
      <c r="AD838" s="323" t="e">
        <f t="shared" ca="1" si="403"/>
        <v>#N/A</v>
      </c>
      <c r="AE838" s="324" t="e">
        <f t="shared" ca="1" si="382"/>
        <v>#N/A</v>
      </c>
      <c r="AG838" s="306">
        <f t="shared" ca="1" si="404"/>
        <v>1.3150693629204859</v>
      </c>
      <c r="AH838" s="304">
        <f t="shared" ca="1" si="405"/>
        <v>-8.4844848460418092</v>
      </c>
    </row>
    <row r="839" spans="1:34" x14ac:dyDescent="0.2">
      <c r="A839" s="347">
        <f t="shared" ca="1" si="383"/>
        <v>1E-4</v>
      </c>
      <c r="B839" s="304">
        <f t="shared" ca="1" si="384"/>
        <v>41.406100000000478</v>
      </c>
      <c r="D839" s="306">
        <f t="shared" ca="1" si="385"/>
        <v>-0.39143466085872203</v>
      </c>
      <c r="E839" s="307">
        <f t="shared" ca="1" si="386"/>
        <v>-1.3345214520801623</v>
      </c>
      <c r="F839" s="304">
        <f t="shared" ca="1" si="387"/>
        <v>1.3907439015806353</v>
      </c>
      <c r="G839" s="306">
        <f t="shared" ca="1" si="388"/>
        <v>6.2315638914782152</v>
      </c>
      <c r="H839" s="307">
        <f t="shared" ca="1" si="389"/>
        <v>-134.92895586648186</v>
      </c>
      <c r="I839" s="304">
        <f t="shared" ca="1" si="390"/>
        <v>135.07277860380523</v>
      </c>
      <c r="J839" s="306">
        <f t="shared" ca="1" si="391"/>
        <v>568.62651553779426</v>
      </c>
      <c r="K839" s="307">
        <f t="shared" ca="1" si="392"/>
        <v>-3.9903301711805512</v>
      </c>
      <c r="L839" s="304">
        <f t="shared" ca="1" si="377"/>
        <v>568.64051641395406</v>
      </c>
      <c r="M839" s="306">
        <f t="shared" ca="1" si="393"/>
        <v>-1.5246450841411614</v>
      </c>
      <c r="N839" s="304">
        <f t="shared" ca="1" si="394"/>
        <v>-87.35572857665683</v>
      </c>
      <c r="P839" s="310">
        <f t="shared" ca="1" si="395"/>
        <v>23</v>
      </c>
      <c r="Q839" s="304">
        <f t="shared" ca="1" si="396"/>
        <v>0</v>
      </c>
      <c r="R839" s="306">
        <f t="shared" ca="1" si="397"/>
        <v>0</v>
      </c>
      <c r="S839" s="307">
        <f t="shared" ca="1" si="398"/>
        <v>6.1519999999999921</v>
      </c>
      <c r="T839" s="304">
        <f t="shared" ca="1" si="378"/>
        <v>60.351119999999923</v>
      </c>
      <c r="U839" s="311">
        <f t="shared" ca="1" si="379"/>
        <v>0</v>
      </c>
      <c r="V839" s="306">
        <f t="shared" ca="1" si="380"/>
        <v>1.2254889129921831</v>
      </c>
      <c r="W839" s="304">
        <f t="shared" ca="1" si="381"/>
        <v>52.196894902800956</v>
      </c>
      <c r="Y839" s="314" t="str">
        <f t="shared" ca="1" si="399"/>
        <v/>
      </c>
      <c r="Z839" s="315" t="str">
        <f t="shared" ca="1" si="400"/>
        <v/>
      </c>
      <c r="AA839" s="316" t="str">
        <f t="shared" ca="1" si="401"/>
        <v/>
      </c>
      <c r="AC839" s="310" t="e">
        <f t="shared" ca="1" si="402"/>
        <v>#N/A</v>
      </c>
      <c r="AD839" s="323" t="e">
        <f t="shared" ca="1" si="403"/>
        <v>#N/A</v>
      </c>
      <c r="AE839" s="324" t="e">
        <f t="shared" ca="1" si="382"/>
        <v>#N/A</v>
      </c>
      <c r="AG839" s="306">
        <f t="shared" ca="1" si="404"/>
        <v>1.315041545489386</v>
      </c>
      <c r="AH839" s="304">
        <f t="shared" ca="1" si="405"/>
        <v>-8.4845128151220894</v>
      </c>
    </row>
    <row r="840" spans="1:34" x14ac:dyDescent="0.2">
      <c r="A840" s="347">
        <f t="shared" ca="1" si="383"/>
        <v>1E-4</v>
      </c>
      <c r="B840" s="304">
        <f t="shared" ca="1" si="384"/>
        <v>41.406200000000482</v>
      </c>
      <c r="D840" s="306">
        <f t="shared" ca="1" si="385"/>
        <v>-0.39143311133074948</v>
      </c>
      <c r="E840" s="307">
        <f t="shared" ca="1" si="386"/>
        <v>-1.3344933818855989</v>
      </c>
      <c r="F840" s="304">
        <f t="shared" ca="1" si="387"/>
        <v>1.3907165300457651</v>
      </c>
      <c r="G840" s="306">
        <f t="shared" ca="1" si="388"/>
        <v>6.2315247481670824</v>
      </c>
      <c r="H840" s="307">
        <f t="shared" ca="1" si="389"/>
        <v>-134.92908931582005</v>
      </c>
      <c r="I840" s="304">
        <f t="shared" ca="1" si="390"/>
        <v>135.07291010518566</v>
      </c>
      <c r="J840" s="306">
        <f t="shared" ca="1" si="391"/>
        <v>568.62651553779426</v>
      </c>
      <c r="K840" s="307">
        <f t="shared" ca="1" si="392"/>
        <v>-4.0038230734396665</v>
      </c>
      <c r="L840" s="304">
        <f t="shared" ca="1" si="377"/>
        <v>568.64061125798673</v>
      </c>
      <c r="M840" s="306">
        <f t="shared" ca="1" si="393"/>
        <v>-1.5246454192068588</v>
      </c>
      <c r="N840" s="304">
        <f t="shared" ca="1" si="394"/>
        <v>-87.355747774507151</v>
      </c>
      <c r="P840" s="310">
        <f t="shared" ca="1" si="395"/>
        <v>23</v>
      </c>
      <c r="Q840" s="304">
        <f t="shared" ca="1" si="396"/>
        <v>0</v>
      </c>
      <c r="R840" s="306">
        <f t="shared" ca="1" si="397"/>
        <v>0</v>
      </c>
      <c r="S840" s="307">
        <f t="shared" ca="1" si="398"/>
        <v>6.1519999999999921</v>
      </c>
      <c r="T840" s="304">
        <f t="shared" ca="1" si="378"/>
        <v>60.351119999999923</v>
      </c>
      <c r="U840" s="311">
        <f t="shared" ca="1" si="379"/>
        <v>0</v>
      </c>
      <c r="V840" s="306">
        <f t="shared" ca="1" si="380"/>
        <v>1.2254905665335767</v>
      </c>
      <c r="W840" s="304">
        <f t="shared" ca="1" si="381"/>
        <v>52.197066965358864</v>
      </c>
      <c r="Y840" s="314" t="str">
        <f t="shared" ca="1" si="399"/>
        <v/>
      </c>
      <c r="Z840" s="315" t="str">
        <f t="shared" ca="1" si="400"/>
        <v/>
      </c>
      <c r="AA840" s="316" t="str">
        <f t="shared" ca="1" si="401"/>
        <v/>
      </c>
      <c r="AC840" s="310" t="e">
        <f t="shared" ca="1" si="402"/>
        <v>#N/A</v>
      </c>
      <c r="AD840" s="323" t="e">
        <f t="shared" ca="1" si="403"/>
        <v>#N/A</v>
      </c>
      <c r="AE840" s="324" t="e">
        <f t="shared" ca="1" si="382"/>
        <v>#N/A</v>
      </c>
      <c r="AG840" s="306">
        <f t="shared" ca="1" si="404"/>
        <v>1.315013728317961</v>
      </c>
      <c r="AH840" s="304">
        <f t="shared" ca="1" si="405"/>
        <v>-8.4845407839403482</v>
      </c>
    </row>
    <row r="841" spans="1:34" x14ac:dyDescent="0.2">
      <c r="A841" s="347">
        <f t="shared" ca="1" si="383"/>
        <v>1E-4</v>
      </c>
      <c r="B841" s="304">
        <f t="shared" ca="1" si="384"/>
        <v>41.406300000000485</v>
      </c>
      <c r="D841" s="306">
        <f t="shared" ca="1" si="385"/>
        <v>-0.39143156179528948</v>
      </c>
      <c r="E841" s="307">
        <f t="shared" ca="1" si="386"/>
        <v>-1.3344653119539558</v>
      </c>
      <c r="F841" s="304">
        <f t="shared" ca="1" si="387"/>
        <v>1.390689158790658</v>
      </c>
      <c r="G841" s="306">
        <f t="shared" ca="1" si="388"/>
        <v>6.2314856050109029</v>
      </c>
      <c r="H841" s="307">
        <f t="shared" ca="1" si="389"/>
        <v>-134.92922276235126</v>
      </c>
      <c r="I841" s="304">
        <f t="shared" ca="1" si="390"/>
        <v>135.07304160378439</v>
      </c>
      <c r="J841" s="306">
        <f t="shared" ca="1" si="391"/>
        <v>568.62651553779426</v>
      </c>
      <c r="K841" s="307">
        <f t="shared" ca="1" si="392"/>
        <v>-4.017315989043575</v>
      </c>
      <c r="L841" s="304">
        <f t="shared" ca="1" si="377"/>
        <v>568.64070642226204</v>
      </c>
      <c r="M841" s="306">
        <f t="shared" ca="1" si="393"/>
        <v>-1.5246457542697991</v>
      </c>
      <c r="N841" s="304">
        <f t="shared" ca="1" si="394"/>
        <v>-87.355766972199504</v>
      </c>
      <c r="P841" s="310">
        <f t="shared" ca="1" si="395"/>
        <v>23</v>
      </c>
      <c r="Q841" s="304">
        <f t="shared" ca="1" si="396"/>
        <v>0</v>
      </c>
      <c r="R841" s="306">
        <f t="shared" ca="1" si="397"/>
        <v>0</v>
      </c>
      <c r="S841" s="307">
        <f t="shared" ca="1" si="398"/>
        <v>6.1519999999999921</v>
      </c>
      <c r="T841" s="304">
        <f t="shared" ca="1" si="378"/>
        <v>60.351119999999923</v>
      </c>
      <c r="U841" s="311">
        <f t="shared" ca="1" si="379"/>
        <v>0</v>
      </c>
      <c r="V841" s="306">
        <f t="shared" ca="1" si="380"/>
        <v>1.2254922200788376</v>
      </c>
      <c r="W841" s="304">
        <f t="shared" ca="1" si="381"/>
        <v>52.197239026304814</v>
      </c>
      <c r="Y841" s="314" t="str">
        <f t="shared" ca="1" si="399"/>
        <v/>
      </c>
      <c r="Z841" s="315" t="str">
        <f t="shared" ca="1" si="400"/>
        <v/>
      </c>
      <c r="AA841" s="316" t="str">
        <f t="shared" ca="1" si="401"/>
        <v/>
      </c>
      <c r="AC841" s="310" t="e">
        <f t="shared" ca="1" si="402"/>
        <v>#N/A</v>
      </c>
      <c r="AD841" s="323" t="e">
        <f t="shared" ca="1" si="403"/>
        <v>#N/A</v>
      </c>
      <c r="AE841" s="324" t="e">
        <f t="shared" ca="1" si="382"/>
        <v>#N/A</v>
      </c>
      <c r="AG841" s="306">
        <f t="shared" ca="1" si="404"/>
        <v>1.3149859114062181</v>
      </c>
      <c r="AH841" s="304">
        <f t="shared" ca="1" si="405"/>
        <v>-8.4845687524965747</v>
      </c>
    </row>
    <row r="842" spans="1:34" x14ac:dyDescent="0.2">
      <c r="A842" s="347">
        <f t="shared" ca="1" si="383"/>
        <v>1E-4</v>
      </c>
      <c r="B842" s="304">
        <f t="shared" ca="1" si="384"/>
        <v>41.406400000000488</v>
      </c>
      <c r="D842" s="306">
        <f t="shared" ca="1" si="385"/>
        <v>-0.39143001225234303</v>
      </c>
      <c r="E842" s="307">
        <f t="shared" ca="1" si="386"/>
        <v>-1.3344372422852189</v>
      </c>
      <c r="F842" s="304">
        <f t="shared" ca="1" si="387"/>
        <v>1.3906617878153009</v>
      </c>
      <c r="G842" s="306">
        <f t="shared" ca="1" si="388"/>
        <v>6.2314464620096777</v>
      </c>
      <c r="H842" s="307">
        <f t="shared" ca="1" si="389"/>
        <v>-134.92935620607548</v>
      </c>
      <c r="I842" s="304">
        <f t="shared" ca="1" si="390"/>
        <v>135.07317309960143</v>
      </c>
      <c r="J842" s="306">
        <f t="shared" ca="1" si="391"/>
        <v>568.62651553779426</v>
      </c>
      <c r="K842" s="307">
        <f t="shared" ca="1" si="392"/>
        <v>-4.0308089179919966</v>
      </c>
      <c r="L842" s="304">
        <f t="shared" ca="1" si="377"/>
        <v>568.64080190678078</v>
      </c>
      <c r="M842" s="306">
        <f t="shared" ca="1" si="393"/>
        <v>-1.5246460893299825</v>
      </c>
      <c r="N842" s="304">
        <f t="shared" ca="1" si="394"/>
        <v>-87.355786169733889</v>
      </c>
      <c r="P842" s="310">
        <f t="shared" ca="1" si="395"/>
        <v>23</v>
      </c>
      <c r="Q842" s="304">
        <f t="shared" ca="1" si="396"/>
        <v>0</v>
      </c>
      <c r="R842" s="306">
        <f t="shared" ca="1" si="397"/>
        <v>0</v>
      </c>
      <c r="S842" s="307">
        <f t="shared" ca="1" si="398"/>
        <v>6.1519999999999921</v>
      </c>
      <c r="T842" s="304">
        <f t="shared" ca="1" si="378"/>
        <v>60.351119999999923</v>
      </c>
      <c r="U842" s="311">
        <f t="shared" ca="1" si="379"/>
        <v>0</v>
      </c>
      <c r="V842" s="306">
        <f t="shared" ca="1" si="380"/>
        <v>1.2254938736279655</v>
      </c>
      <c r="W842" s="304">
        <f t="shared" ca="1" si="381"/>
        <v>52.19741108563877</v>
      </c>
      <c r="Y842" s="314" t="str">
        <f t="shared" ca="1" si="399"/>
        <v/>
      </c>
      <c r="Z842" s="315" t="str">
        <f t="shared" ca="1" si="400"/>
        <v/>
      </c>
      <c r="AA842" s="316" t="str">
        <f t="shared" ca="1" si="401"/>
        <v/>
      </c>
      <c r="AC842" s="310" t="e">
        <f t="shared" ca="1" si="402"/>
        <v>#N/A</v>
      </c>
      <c r="AD842" s="323" t="e">
        <f t="shared" ca="1" si="403"/>
        <v>#N/A</v>
      </c>
      <c r="AE842" s="324" t="e">
        <f t="shared" ca="1" si="382"/>
        <v>#N/A</v>
      </c>
      <c r="AG842" s="306">
        <f t="shared" ca="1" si="404"/>
        <v>1.3149580947541502</v>
      </c>
      <c r="AH842" s="304">
        <f t="shared" ca="1" si="405"/>
        <v>-8.4845967207907798</v>
      </c>
    </row>
    <row r="843" spans="1:34" x14ac:dyDescent="0.2">
      <c r="A843" s="347">
        <f t="shared" ca="1" si="383"/>
        <v>1E-4</v>
      </c>
      <c r="B843" s="304">
        <f t="shared" ca="1" si="384"/>
        <v>41.406500000000491</v>
      </c>
      <c r="D843" s="306">
        <f t="shared" ca="1" si="385"/>
        <v>-0.39142846270190829</v>
      </c>
      <c r="E843" s="307">
        <f t="shared" ca="1" si="386"/>
        <v>-1.334409172879397</v>
      </c>
      <c r="F843" s="304">
        <f t="shared" ca="1" si="387"/>
        <v>1.3906344171197029</v>
      </c>
      <c r="G843" s="306">
        <f t="shared" ca="1" si="388"/>
        <v>6.2314073191634076</v>
      </c>
      <c r="H843" s="307">
        <f t="shared" ca="1" si="389"/>
        <v>-134.92948964699278</v>
      </c>
      <c r="I843" s="304">
        <f t="shared" ca="1" si="390"/>
        <v>135.07330459263687</v>
      </c>
      <c r="J843" s="306">
        <f t="shared" ca="1" si="391"/>
        <v>568.62651553779426</v>
      </c>
      <c r="K843" s="307">
        <f t="shared" ca="1" si="392"/>
        <v>-4.0443018602846497</v>
      </c>
      <c r="L843" s="304">
        <f t="shared" ca="1" si="377"/>
        <v>568.64089771154386</v>
      </c>
      <c r="M843" s="306">
        <f t="shared" ca="1" si="393"/>
        <v>-1.5246464243874087</v>
      </c>
      <c r="N843" s="304">
        <f t="shared" ca="1" si="394"/>
        <v>-87.355805367110307</v>
      </c>
      <c r="P843" s="310">
        <f t="shared" ca="1" si="395"/>
        <v>23</v>
      </c>
      <c r="Q843" s="304">
        <f t="shared" ca="1" si="396"/>
        <v>0</v>
      </c>
      <c r="R843" s="306">
        <f t="shared" ca="1" si="397"/>
        <v>0</v>
      </c>
      <c r="S843" s="307">
        <f t="shared" ca="1" si="398"/>
        <v>6.1519999999999921</v>
      </c>
      <c r="T843" s="304">
        <f t="shared" ca="1" si="378"/>
        <v>60.351119999999923</v>
      </c>
      <c r="U843" s="311">
        <f t="shared" ca="1" si="379"/>
        <v>0</v>
      </c>
      <c r="V843" s="306">
        <f t="shared" ca="1" si="380"/>
        <v>1.2254955271809602</v>
      </c>
      <c r="W843" s="304">
        <f t="shared" ca="1" si="381"/>
        <v>52.197583143360788</v>
      </c>
      <c r="Y843" s="314" t="str">
        <f t="shared" ca="1" si="399"/>
        <v/>
      </c>
      <c r="Z843" s="315" t="str">
        <f t="shared" ca="1" si="400"/>
        <v/>
      </c>
      <c r="AA843" s="316" t="str">
        <f t="shared" ca="1" si="401"/>
        <v/>
      </c>
      <c r="AC843" s="310" t="e">
        <f t="shared" ca="1" si="402"/>
        <v>#N/A</v>
      </c>
      <c r="AD843" s="323" t="e">
        <f t="shared" ca="1" si="403"/>
        <v>#N/A</v>
      </c>
      <c r="AE843" s="324" t="e">
        <f t="shared" ca="1" si="382"/>
        <v>#N/A</v>
      </c>
      <c r="AG843" s="306">
        <f t="shared" ca="1" si="404"/>
        <v>1.3149302783617607</v>
      </c>
      <c r="AH843" s="304">
        <f t="shared" ca="1" si="405"/>
        <v>-8.4846246888229579</v>
      </c>
    </row>
    <row r="844" spans="1:34" x14ac:dyDescent="0.2">
      <c r="A844" s="347">
        <f t="shared" ca="1" si="383"/>
        <v>1E-4</v>
      </c>
      <c r="B844" s="304">
        <f t="shared" ca="1" si="384"/>
        <v>41.406600000000495</v>
      </c>
      <c r="D844" s="306">
        <f t="shared" ca="1" si="385"/>
        <v>-0.39142691314398814</v>
      </c>
      <c r="E844" s="307">
        <f t="shared" ca="1" si="386"/>
        <v>-1.334381103736483</v>
      </c>
      <c r="F844" s="304">
        <f t="shared" ca="1" si="387"/>
        <v>1.390607046703858</v>
      </c>
      <c r="G844" s="306">
        <f t="shared" ca="1" si="388"/>
        <v>6.2313681764720936</v>
      </c>
      <c r="H844" s="307">
        <f t="shared" ca="1" si="389"/>
        <v>-134.92962308510315</v>
      </c>
      <c r="I844" s="304">
        <f t="shared" ca="1" si="390"/>
        <v>135.07343608289065</v>
      </c>
      <c r="J844" s="306">
        <f t="shared" ca="1" si="391"/>
        <v>568.62651553779426</v>
      </c>
      <c r="K844" s="307">
        <f t="shared" ca="1" si="392"/>
        <v>-4.0577948159212545</v>
      </c>
      <c r="L844" s="304">
        <f t="shared" ca="1" si="377"/>
        <v>568.64099383655184</v>
      </c>
      <c r="M844" s="306">
        <f t="shared" ca="1" si="393"/>
        <v>-1.5246467594420778</v>
      </c>
      <c r="N844" s="304">
        <f t="shared" ca="1" si="394"/>
        <v>-87.355824564328756</v>
      </c>
      <c r="P844" s="310">
        <f t="shared" ca="1" si="395"/>
        <v>23</v>
      </c>
      <c r="Q844" s="304">
        <f t="shared" ca="1" si="396"/>
        <v>0</v>
      </c>
      <c r="R844" s="306">
        <f t="shared" ca="1" si="397"/>
        <v>0</v>
      </c>
      <c r="S844" s="307">
        <f t="shared" ca="1" si="398"/>
        <v>6.1519999999999921</v>
      </c>
      <c r="T844" s="304">
        <f t="shared" ca="1" si="378"/>
        <v>60.351119999999923</v>
      </c>
      <c r="U844" s="311">
        <f t="shared" ca="1" si="379"/>
        <v>0</v>
      </c>
      <c r="V844" s="306">
        <f t="shared" ca="1" si="380"/>
        <v>1.2254971807378217</v>
      </c>
      <c r="W844" s="304">
        <f t="shared" ca="1" si="381"/>
        <v>52.197755199470798</v>
      </c>
      <c r="Y844" s="314" t="str">
        <f t="shared" ca="1" si="399"/>
        <v/>
      </c>
      <c r="Z844" s="315" t="str">
        <f t="shared" ca="1" si="400"/>
        <v/>
      </c>
      <c r="AA844" s="316" t="str">
        <f t="shared" ca="1" si="401"/>
        <v/>
      </c>
      <c r="AC844" s="310" t="e">
        <f t="shared" ca="1" si="402"/>
        <v>#N/A</v>
      </c>
      <c r="AD844" s="323" t="e">
        <f t="shared" ca="1" si="403"/>
        <v>#N/A</v>
      </c>
      <c r="AE844" s="324" t="e">
        <f t="shared" ca="1" si="382"/>
        <v>#N/A</v>
      </c>
      <c r="AG844" s="306">
        <f t="shared" ca="1" si="404"/>
        <v>1.3149024622290426</v>
      </c>
      <c r="AH844" s="304">
        <f t="shared" ca="1" si="405"/>
        <v>-8.4846526565931164</v>
      </c>
    </row>
    <row r="845" spans="1:34" x14ac:dyDescent="0.2">
      <c r="A845" s="347">
        <f t="shared" ca="1" si="383"/>
        <v>1E-4</v>
      </c>
      <c r="B845" s="304">
        <f t="shared" ca="1" si="384"/>
        <v>41.406700000000498</v>
      </c>
      <c r="D845" s="306">
        <f t="shared" ca="1" si="385"/>
        <v>-0.3914253635785826</v>
      </c>
      <c r="E845" s="307">
        <f t="shared" ca="1" si="386"/>
        <v>-1.3343530348564858</v>
      </c>
      <c r="F845" s="304">
        <f t="shared" ca="1" si="387"/>
        <v>1.3905796765677758</v>
      </c>
      <c r="G845" s="306">
        <f t="shared" ca="1" si="388"/>
        <v>6.2313290339357357</v>
      </c>
      <c r="H845" s="307">
        <f t="shared" ca="1" si="389"/>
        <v>-134.92975652040664</v>
      </c>
      <c r="I845" s="304">
        <f t="shared" ca="1" si="390"/>
        <v>135.07356757036288</v>
      </c>
      <c r="J845" s="306">
        <f t="shared" ca="1" si="391"/>
        <v>568.62651553779426</v>
      </c>
      <c r="K845" s="307">
        <f t="shared" ca="1" si="392"/>
        <v>-4.0712877849015303</v>
      </c>
      <c r="L845" s="304">
        <f t="shared" ca="1" si="377"/>
        <v>568.64109028180587</v>
      </c>
      <c r="M845" s="306">
        <f t="shared" ca="1" si="393"/>
        <v>-1.5246470944939901</v>
      </c>
      <c r="N845" s="304">
        <f t="shared" ca="1" si="394"/>
        <v>-87.355843761389238</v>
      </c>
      <c r="P845" s="310">
        <f t="shared" ca="1" si="395"/>
        <v>23</v>
      </c>
      <c r="Q845" s="304">
        <f t="shared" ca="1" si="396"/>
        <v>0</v>
      </c>
      <c r="R845" s="306">
        <f t="shared" ca="1" si="397"/>
        <v>0</v>
      </c>
      <c r="S845" s="307">
        <f t="shared" ca="1" si="398"/>
        <v>6.1519999999999921</v>
      </c>
      <c r="T845" s="304">
        <f t="shared" ca="1" si="378"/>
        <v>60.351119999999923</v>
      </c>
      <c r="U845" s="311">
        <f t="shared" ca="1" si="379"/>
        <v>0</v>
      </c>
      <c r="V845" s="306">
        <f t="shared" ca="1" si="380"/>
        <v>1.2254988342985496</v>
      </c>
      <c r="W845" s="304">
        <f t="shared" ca="1" si="381"/>
        <v>52.197927253968864</v>
      </c>
      <c r="Y845" s="314" t="str">
        <f t="shared" ca="1" si="399"/>
        <v/>
      </c>
      <c r="Z845" s="315" t="str">
        <f t="shared" ca="1" si="400"/>
        <v/>
      </c>
      <c r="AA845" s="316" t="str">
        <f t="shared" ca="1" si="401"/>
        <v/>
      </c>
      <c r="AC845" s="310" t="e">
        <f t="shared" ca="1" si="402"/>
        <v>#N/A</v>
      </c>
      <c r="AD845" s="323" t="e">
        <f t="shared" ca="1" si="403"/>
        <v>#N/A</v>
      </c>
      <c r="AE845" s="324" t="e">
        <f t="shared" ca="1" si="382"/>
        <v>#N/A</v>
      </c>
      <c r="AG845" s="306">
        <f t="shared" ca="1" si="404"/>
        <v>1.3148746463560048</v>
      </c>
      <c r="AH845" s="304">
        <f t="shared" ca="1" si="405"/>
        <v>-8.4846806241012462</v>
      </c>
    </row>
    <row r="846" spans="1:34" x14ac:dyDescent="0.2">
      <c r="A846" s="347">
        <f t="shared" ca="1" si="383"/>
        <v>1E-4</v>
      </c>
      <c r="B846" s="304">
        <f t="shared" ca="1" si="384"/>
        <v>41.406800000000501</v>
      </c>
      <c r="D846" s="306">
        <f t="shared" ca="1" si="385"/>
        <v>-0.3914238140056906</v>
      </c>
      <c r="E846" s="307">
        <f t="shared" ca="1" si="386"/>
        <v>-1.3343249662393948</v>
      </c>
      <c r="F846" s="304">
        <f t="shared" ca="1" si="387"/>
        <v>1.390552306711446</v>
      </c>
      <c r="G846" s="306">
        <f t="shared" ca="1" si="388"/>
        <v>6.2312898915543355</v>
      </c>
      <c r="H846" s="307">
        <f t="shared" ca="1" si="389"/>
        <v>-134.92988995290327</v>
      </c>
      <c r="I846" s="304">
        <f t="shared" ca="1" si="390"/>
        <v>135.07369905505354</v>
      </c>
      <c r="J846" s="306">
        <f t="shared" ca="1" si="391"/>
        <v>568.62651553779426</v>
      </c>
      <c r="K846" s="307">
        <f t="shared" ca="1" si="392"/>
        <v>-4.0847807672251957</v>
      </c>
      <c r="L846" s="304">
        <f t="shared" ca="1" si="377"/>
        <v>568.64118704730629</v>
      </c>
      <c r="M846" s="306">
        <f t="shared" ca="1" si="393"/>
        <v>-1.5246474295431454</v>
      </c>
      <c r="N846" s="304">
        <f t="shared" ca="1" si="394"/>
        <v>-87.355862958291766</v>
      </c>
      <c r="P846" s="310">
        <f t="shared" ca="1" si="395"/>
        <v>23</v>
      </c>
      <c r="Q846" s="304">
        <f t="shared" ca="1" si="396"/>
        <v>0</v>
      </c>
      <c r="R846" s="306">
        <f t="shared" ca="1" si="397"/>
        <v>0</v>
      </c>
      <c r="S846" s="307">
        <f t="shared" ca="1" si="398"/>
        <v>6.1519999999999921</v>
      </c>
      <c r="T846" s="304">
        <f t="shared" ca="1" si="378"/>
        <v>60.351119999999923</v>
      </c>
      <c r="U846" s="311">
        <f t="shared" ca="1" si="379"/>
        <v>0</v>
      </c>
      <c r="V846" s="306">
        <f t="shared" ca="1" si="380"/>
        <v>1.225500487863145</v>
      </c>
      <c r="W846" s="304">
        <f t="shared" ca="1" si="381"/>
        <v>52.198099306854999</v>
      </c>
      <c r="Y846" s="314" t="str">
        <f t="shared" ca="1" si="399"/>
        <v/>
      </c>
      <c r="Z846" s="315" t="str">
        <f t="shared" ca="1" si="400"/>
        <v/>
      </c>
      <c r="AA846" s="316" t="str">
        <f t="shared" ca="1" si="401"/>
        <v/>
      </c>
      <c r="AC846" s="310" t="e">
        <f t="shared" ca="1" si="402"/>
        <v>#N/A</v>
      </c>
      <c r="AD846" s="323" t="e">
        <f t="shared" ca="1" si="403"/>
        <v>#N/A</v>
      </c>
      <c r="AE846" s="324" t="e">
        <f t="shared" ca="1" si="382"/>
        <v>#N/A</v>
      </c>
      <c r="AG846" s="306">
        <f t="shared" ca="1" si="404"/>
        <v>1.314846830742642</v>
      </c>
      <c r="AH846" s="304">
        <f t="shared" ca="1" si="405"/>
        <v>-8.4847085913473546</v>
      </c>
    </row>
    <row r="847" spans="1:34" x14ac:dyDescent="0.2">
      <c r="A847" s="347">
        <f t="shared" ca="1" si="383"/>
        <v>1E-4</v>
      </c>
      <c r="B847" s="304">
        <f t="shared" ca="1" si="384"/>
        <v>41.406900000000505</v>
      </c>
      <c r="D847" s="306">
        <f t="shared" ca="1" si="385"/>
        <v>-0.39142226442531297</v>
      </c>
      <c r="E847" s="307">
        <f t="shared" ca="1" si="386"/>
        <v>-1.3342968978852063</v>
      </c>
      <c r="F847" s="304">
        <f t="shared" ca="1" si="387"/>
        <v>1.3905249371348665</v>
      </c>
      <c r="G847" s="306">
        <f t="shared" ca="1" si="388"/>
        <v>6.2312507493278932</v>
      </c>
      <c r="H847" s="307">
        <f t="shared" ca="1" si="389"/>
        <v>-134.93002338259305</v>
      </c>
      <c r="I847" s="304">
        <f t="shared" ca="1" si="390"/>
        <v>135.07383053696265</v>
      </c>
      <c r="J847" s="306">
        <f t="shared" ca="1" si="391"/>
        <v>568.62651553779426</v>
      </c>
      <c r="K847" s="307">
        <f t="shared" ca="1" si="392"/>
        <v>-4.0982737628919708</v>
      </c>
      <c r="L847" s="304">
        <f t="shared" ca="1" si="377"/>
        <v>568.64128413305423</v>
      </c>
      <c r="M847" s="306">
        <f t="shared" ca="1" si="393"/>
        <v>-1.5246477645895438</v>
      </c>
      <c r="N847" s="304">
        <f t="shared" ca="1" si="394"/>
        <v>-87.35588215503634</v>
      </c>
      <c r="P847" s="310">
        <f t="shared" ca="1" si="395"/>
        <v>23</v>
      </c>
      <c r="Q847" s="304">
        <f t="shared" ca="1" si="396"/>
        <v>0</v>
      </c>
      <c r="R847" s="306">
        <f t="shared" ca="1" si="397"/>
        <v>0</v>
      </c>
      <c r="S847" s="307">
        <f t="shared" ca="1" si="398"/>
        <v>6.1519999999999921</v>
      </c>
      <c r="T847" s="304">
        <f t="shared" ca="1" si="378"/>
        <v>60.351119999999923</v>
      </c>
      <c r="U847" s="311">
        <f t="shared" ca="1" si="379"/>
        <v>0</v>
      </c>
      <c r="V847" s="306">
        <f t="shared" ca="1" si="380"/>
        <v>1.225502141431607</v>
      </c>
      <c r="W847" s="304">
        <f t="shared" ca="1" si="381"/>
        <v>52.198271358129169</v>
      </c>
      <c r="Y847" s="314" t="str">
        <f t="shared" ca="1" si="399"/>
        <v/>
      </c>
      <c r="Z847" s="315" t="str">
        <f t="shared" ca="1" si="400"/>
        <v/>
      </c>
      <c r="AA847" s="316" t="str">
        <f t="shared" ca="1" si="401"/>
        <v/>
      </c>
      <c r="AC847" s="310" t="e">
        <f t="shared" ca="1" si="402"/>
        <v>#N/A</v>
      </c>
      <c r="AD847" s="323" t="e">
        <f t="shared" ca="1" si="403"/>
        <v>#N/A</v>
      </c>
      <c r="AE847" s="324" t="e">
        <f t="shared" ca="1" si="382"/>
        <v>#N/A</v>
      </c>
      <c r="AG847" s="306">
        <f t="shared" ca="1" si="404"/>
        <v>1.3148190153889452</v>
      </c>
      <c r="AH847" s="304">
        <f t="shared" ca="1" si="405"/>
        <v>-8.4847365583314485</v>
      </c>
    </row>
    <row r="848" spans="1:34" x14ac:dyDescent="0.2">
      <c r="A848" s="347">
        <f t="shared" ca="1" si="383"/>
        <v>1E-4</v>
      </c>
      <c r="B848" s="304">
        <f t="shared" ca="1" si="384"/>
        <v>41.407000000000508</v>
      </c>
      <c r="D848" s="306">
        <f t="shared" ca="1" si="385"/>
        <v>-0.39142071483744978</v>
      </c>
      <c r="E848" s="307">
        <f t="shared" ca="1" si="386"/>
        <v>-1.3342688297939294</v>
      </c>
      <c r="F848" s="304">
        <f t="shared" ca="1" si="387"/>
        <v>1.3904975678380462</v>
      </c>
      <c r="G848" s="306">
        <f t="shared" ca="1" si="388"/>
        <v>6.2312116072564097</v>
      </c>
      <c r="H848" s="307">
        <f t="shared" ca="1" si="389"/>
        <v>-134.93015680947602</v>
      </c>
      <c r="I848" s="304">
        <f t="shared" ca="1" si="390"/>
        <v>135.07396201609026</v>
      </c>
      <c r="J848" s="306">
        <f t="shared" ca="1" si="391"/>
        <v>568.62651553779426</v>
      </c>
      <c r="K848" s="307">
        <f t="shared" ca="1" si="392"/>
        <v>-4.111766771901574</v>
      </c>
      <c r="L848" s="304">
        <f t="shared" ca="1" si="377"/>
        <v>568.64138153905037</v>
      </c>
      <c r="M848" s="306">
        <f t="shared" ca="1" si="393"/>
        <v>-1.5246480996331853</v>
      </c>
      <c r="N848" s="304">
        <f t="shared" ca="1" si="394"/>
        <v>-87.355901351622947</v>
      </c>
      <c r="P848" s="310">
        <f t="shared" ca="1" si="395"/>
        <v>23</v>
      </c>
      <c r="Q848" s="304">
        <f t="shared" ca="1" si="396"/>
        <v>0</v>
      </c>
      <c r="R848" s="306">
        <f t="shared" ca="1" si="397"/>
        <v>0</v>
      </c>
      <c r="S848" s="307">
        <f t="shared" ca="1" si="398"/>
        <v>6.1519999999999921</v>
      </c>
      <c r="T848" s="304">
        <f t="shared" ca="1" si="378"/>
        <v>60.351119999999923</v>
      </c>
      <c r="U848" s="311">
        <f t="shared" ca="1" si="379"/>
        <v>0</v>
      </c>
      <c r="V848" s="306">
        <f t="shared" ca="1" si="380"/>
        <v>1.2255037950039358</v>
      </c>
      <c r="W848" s="304">
        <f t="shared" ca="1" si="381"/>
        <v>52.198443407791402</v>
      </c>
      <c r="Y848" s="314" t="str">
        <f t="shared" ca="1" si="399"/>
        <v/>
      </c>
      <c r="Z848" s="315" t="str">
        <f t="shared" ca="1" si="400"/>
        <v/>
      </c>
      <c r="AA848" s="316" t="str">
        <f t="shared" ca="1" si="401"/>
        <v/>
      </c>
      <c r="AC848" s="310" t="e">
        <f t="shared" ca="1" si="402"/>
        <v>#N/A</v>
      </c>
      <c r="AD848" s="323" t="e">
        <f t="shared" ca="1" si="403"/>
        <v>#N/A</v>
      </c>
      <c r="AE848" s="324" t="e">
        <f t="shared" ca="1" si="382"/>
        <v>#N/A</v>
      </c>
      <c r="AG848" s="306">
        <f t="shared" ca="1" si="404"/>
        <v>1.3147912002949269</v>
      </c>
      <c r="AH848" s="304">
        <f t="shared" ca="1" si="405"/>
        <v>-8.4847645250535173</v>
      </c>
    </row>
    <row r="849" spans="1:34" x14ac:dyDescent="0.2">
      <c r="A849" s="347">
        <f t="shared" ca="1" si="383"/>
        <v>1E-4</v>
      </c>
      <c r="B849" s="304">
        <f t="shared" ca="1" si="384"/>
        <v>41.407100000000511</v>
      </c>
      <c r="D849" s="306">
        <f t="shared" ca="1" si="385"/>
        <v>-0.3914191652421018</v>
      </c>
      <c r="E849" s="307">
        <f t="shared" ca="1" si="386"/>
        <v>-1.3342407619655585</v>
      </c>
      <c r="F849" s="304">
        <f t="shared" ca="1" si="387"/>
        <v>1.3904701988209809</v>
      </c>
      <c r="G849" s="306">
        <f t="shared" ca="1" si="388"/>
        <v>6.2311724653398857</v>
      </c>
      <c r="H849" s="307">
        <f t="shared" ca="1" si="389"/>
        <v>-134.93029023355223</v>
      </c>
      <c r="I849" s="304">
        <f t="shared" ca="1" si="390"/>
        <v>135.07409349243639</v>
      </c>
      <c r="J849" s="306">
        <f t="shared" ca="1" si="391"/>
        <v>568.62651553779426</v>
      </c>
      <c r="K849" s="307">
        <f t="shared" ca="1" si="392"/>
        <v>-4.1252597942537257</v>
      </c>
      <c r="L849" s="304">
        <f t="shared" ca="1" si="377"/>
        <v>568.64147926529552</v>
      </c>
      <c r="M849" s="306">
        <f t="shared" ca="1" si="393"/>
        <v>-1.5246484346740701</v>
      </c>
      <c r="N849" s="304">
        <f t="shared" ca="1" si="394"/>
        <v>-87.355920548051614</v>
      </c>
      <c r="P849" s="310">
        <f t="shared" ca="1" si="395"/>
        <v>23</v>
      </c>
      <c r="Q849" s="304">
        <f t="shared" ca="1" si="396"/>
        <v>0</v>
      </c>
      <c r="R849" s="306">
        <f t="shared" ca="1" si="397"/>
        <v>0</v>
      </c>
      <c r="S849" s="307">
        <f t="shared" ca="1" si="398"/>
        <v>6.1519999999999921</v>
      </c>
      <c r="T849" s="304">
        <f t="shared" ca="1" si="378"/>
        <v>60.351119999999923</v>
      </c>
      <c r="U849" s="311">
        <f t="shared" ca="1" si="379"/>
        <v>0</v>
      </c>
      <c r="V849" s="306">
        <f t="shared" ca="1" si="380"/>
        <v>1.2255054485801316</v>
      </c>
      <c r="W849" s="304">
        <f t="shared" ca="1" si="381"/>
        <v>52.198615455841704</v>
      </c>
      <c r="Y849" s="314" t="str">
        <f t="shared" ca="1" si="399"/>
        <v/>
      </c>
      <c r="Z849" s="315" t="str">
        <f t="shared" ca="1" si="400"/>
        <v/>
      </c>
      <c r="AA849" s="316" t="str">
        <f t="shared" ca="1" si="401"/>
        <v/>
      </c>
      <c r="AC849" s="310" t="e">
        <f t="shared" ca="1" si="402"/>
        <v>#N/A</v>
      </c>
      <c r="AD849" s="323" t="e">
        <f t="shared" ca="1" si="403"/>
        <v>#N/A</v>
      </c>
      <c r="AE849" s="324" t="e">
        <f t="shared" ca="1" si="382"/>
        <v>#N/A</v>
      </c>
      <c r="AG849" s="306">
        <f t="shared" ca="1" si="404"/>
        <v>1.3147633854605765</v>
      </c>
      <c r="AH849" s="304">
        <f t="shared" ca="1" si="405"/>
        <v>-8.4847924915135682</v>
      </c>
    </row>
    <row r="850" spans="1:34" x14ac:dyDescent="0.2">
      <c r="A850" s="347">
        <f t="shared" ca="1" si="383"/>
        <v>1E-4</v>
      </c>
      <c r="B850" s="304">
        <f t="shared" ca="1" si="384"/>
        <v>41.407200000000515</v>
      </c>
      <c r="D850" s="306">
        <f t="shared" ca="1" si="385"/>
        <v>-0.39141761563926764</v>
      </c>
      <c r="E850" s="307">
        <f t="shared" ca="1" si="386"/>
        <v>-1.334212694400092</v>
      </c>
      <c r="F850" s="304">
        <f t="shared" ca="1" si="387"/>
        <v>1.3904428300836689</v>
      </c>
      <c r="G850" s="306">
        <f t="shared" ca="1" si="388"/>
        <v>6.2311333235783222</v>
      </c>
      <c r="H850" s="307">
        <f t="shared" ca="1" si="389"/>
        <v>-134.93042365482168</v>
      </c>
      <c r="I850" s="304">
        <f t="shared" ca="1" si="390"/>
        <v>135.07422496600108</v>
      </c>
      <c r="J850" s="306">
        <f t="shared" ca="1" si="391"/>
        <v>568.62651553779426</v>
      </c>
      <c r="K850" s="307">
        <f t="shared" ca="1" si="392"/>
        <v>-4.1387528299481442</v>
      </c>
      <c r="L850" s="304">
        <f t="shared" ca="1" si="377"/>
        <v>568.64157731179023</v>
      </c>
      <c r="M850" s="306">
        <f t="shared" ca="1" si="393"/>
        <v>-1.5246487697121978</v>
      </c>
      <c r="N850" s="304">
        <f t="shared" ca="1" si="394"/>
        <v>-87.355939744322313</v>
      </c>
      <c r="P850" s="310">
        <f t="shared" ca="1" si="395"/>
        <v>23</v>
      </c>
      <c r="Q850" s="304">
        <f t="shared" ca="1" si="396"/>
        <v>0</v>
      </c>
      <c r="R850" s="306">
        <f t="shared" ca="1" si="397"/>
        <v>0</v>
      </c>
      <c r="S850" s="307">
        <f t="shared" ca="1" si="398"/>
        <v>6.1519999999999921</v>
      </c>
      <c r="T850" s="304">
        <f t="shared" ca="1" si="378"/>
        <v>60.351119999999923</v>
      </c>
      <c r="U850" s="311">
        <f t="shared" ca="1" si="379"/>
        <v>0</v>
      </c>
      <c r="V850" s="306">
        <f t="shared" ca="1" si="380"/>
        <v>1.225507102160194</v>
      </c>
      <c r="W850" s="304">
        <f t="shared" ca="1" si="381"/>
        <v>52.198787502280091</v>
      </c>
      <c r="Y850" s="314" t="str">
        <f t="shared" ca="1" si="399"/>
        <v/>
      </c>
      <c r="Z850" s="315" t="str">
        <f t="shared" ca="1" si="400"/>
        <v/>
      </c>
      <c r="AA850" s="316" t="str">
        <f t="shared" ca="1" si="401"/>
        <v/>
      </c>
      <c r="AC850" s="310" t="e">
        <f t="shared" ca="1" si="402"/>
        <v>#N/A</v>
      </c>
      <c r="AD850" s="323" t="e">
        <f t="shared" ca="1" si="403"/>
        <v>#N/A</v>
      </c>
      <c r="AE850" s="324" t="e">
        <f t="shared" ca="1" si="382"/>
        <v>#N/A</v>
      </c>
      <c r="AG850" s="306">
        <f t="shared" ca="1" si="404"/>
        <v>1.3147355708858974</v>
      </c>
      <c r="AH850" s="304">
        <f t="shared" ca="1" si="405"/>
        <v>-8.4848204577116011</v>
      </c>
    </row>
    <row r="851" spans="1:34" x14ac:dyDescent="0.2">
      <c r="A851" s="347">
        <f t="shared" ca="1" si="383"/>
        <v>1E-4</v>
      </c>
      <c r="B851" s="304">
        <f t="shared" ca="1" si="384"/>
        <v>41.407300000000518</v>
      </c>
      <c r="D851" s="306">
        <f t="shared" ca="1" si="385"/>
        <v>-0.39141606602895168</v>
      </c>
      <c r="E851" s="307">
        <f t="shared" ca="1" si="386"/>
        <v>-1.3341846270975264</v>
      </c>
      <c r="F851" s="304">
        <f t="shared" ca="1" si="387"/>
        <v>1.3904154616261091</v>
      </c>
      <c r="G851" s="306">
        <f t="shared" ca="1" si="388"/>
        <v>6.2310941819717192</v>
      </c>
      <c r="H851" s="307">
        <f t="shared" ca="1" si="389"/>
        <v>-134.93055707328438</v>
      </c>
      <c r="I851" s="304">
        <f t="shared" ca="1" si="390"/>
        <v>135.07435643678431</v>
      </c>
      <c r="J851" s="306">
        <f t="shared" ca="1" si="391"/>
        <v>568.62651553779426</v>
      </c>
      <c r="K851" s="307">
        <f t="shared" ca="1" si="392"/>
        <v>-4.1522458789845498</v>
      </c>
      <c r="L851" s="304">
        <f t="shared" ca="1" si="377"/>
        <v>568.64167567853565</v>
      </c>
      <c r="M851" s="306">
        <f t="shared" ca="1" si="393"/>
        <v>-1.524649104747569</v>
      </c>
      <c r="N851" s="304">
        <f t="shared" ca="1" si="394"/>
        <v>-87.355958940435073</v>
      </c>
      <c r="P851" s="310">
        <f t="shared" ca="1" si="395"/>
        <v>23</v>
      </c>
      <c r="Q851" s="304">
        <f t="shared" ca="1" si="396"/>
        <v>0</v>
      </c>
      <c r="R851" s="306">
        <f t="shared" ca="1" si="397"/>
        <v>0</v>
      </c>
      <c r="S851" s="307">
        <f t="shared" ca="1" si="398"/>
        <v>6.1519999999999921</v>
      </c>
      <c r="T851" s="304">
        <f t="shared" ca="1" si="378"/>
        <v>60.351119999999923</v>
      </c>
      <c r="U851" s="311">
        <f t="shared" ca="1" si="379"/>
        <v>0</v>
      </c>
      <c r="V851" s="306">
        <f t="shared" ca="1" si="380"/>
        <v>1.2255087557441227</v>
      </c>
      <c r="W851" s="304">
        <f t="shared" ca="1" si="381"/>
        <v>52.198959547106512</v>
      </c>
      <c r="Y851" s="314" t="str">
        <f t="shared" ca="1" si="399"/>
        <v/>
      </c>
      <c r="Z851" s="315" t="str">
        <f t="shared" ca="1" si="400"/>
        <v/>
      </c>
      <c r="AA851" s="316" t="str">
        <f t="shared" ca="1" si="401"/>
        <v/>
      </c>
      <c r="AC851" s="310" t="e">
        <f t="shared" ca="1" si="402"/>
        <v>#N/A</v>
      </c>
      <c r="AD851" s="323" t="e">
        <f t="shared" ca="1" si="403"/>
        <v>#N/A</v>
      </c>
      <c r="AE851" s="324" t="e">
        <f t="shared" ca="1" si="382"/>
        <v>#N/A</v>
      </c>
      <c r="AG851" s="306">
        <f t="shared" ca="1" si="404"/>
        <v>1.3147077565708862</v>
      </c>
      <c r="AH851" s="304">
        <f t="shared" ca="1" si="405"/>
        <v>-8.4848484236476196</v>
      </c>
    </row>
    <row r="852" spans="1:34" x14ac:dyDescent="0.2">
      <c r="A852" s="347">
        <f t="shared" ca="1" si="383"/>
        <v>1E-4</v>
      </c>
      <c r="B852" s="304">
        <f t="shared" ca="1" si="384"/>
        <v>41.407400000000521</v>
      </c>
      <c r="D852" s="306">
        <f t="shared" ca="1" si="385"/>
        <v>-0.39141451641114844</v>
      </c>
      <c r="E852" s="307">
        <f t="shared" ca="1" si="386"/>
        <v>-1.3341565600578704</v>
      </c>
      <c r="F852" s="304">
        <f t="shared" ca="1" si="387"/>
        <v>1.3903880934483088</v>
      </c>
      <c r="G852" s="306">
        <f t="shared" ca="1" si="388"/>
        <v>6.2310550405200784</v>
      </c>
      <c r="H852" s="307">
        <f t="shared" ca="1" si="389"/>
        <v>-134.93069048894037</v>
      </c>
      <c r="I852" s="304">
        <f t="shared" ca="1" si="390"/>
        <v>135.07448790478614</v>
      </c>
      <c r="J852" s="306">
        <f t="shared" ca="1" si="391"/>
        <v>568.62651553779426</v>
      </c>
      <c r="K852" s="307">
        <f t="shared" ca="1" si="392"/>
        <v>-4.1657389413626609</v>
      </c>
      <c r="L852" s="304">
        <f t="shared" ca="1" si="377"/>
        <v>568.64177436553234</v>
      </c>
      <c r="M852" s="306">
        <f t="shared" ca="1" si="393"/>
        <v>-1.5246494397801833</v>
      </c>
      <c r="N852" s="304">
        <f t="shared" ca="1" si="394"/>
        <v>-87.355978136389865</v>
      </c>
      <c r="P852" s="310">
        <f t="shared" ca="1" si="395"/>
        <v>23</v>
      </c>
      <c r="Q852" s="304">
        <f t="shared" ca="1" si="396"/>
        <v>0</v>
      </c>
      <c r="R852" s="306">
        <f t="shared" ca="1" si="397"/>
        <v>0</v>
      </c>
      <c r="S852" s="307">
        <f t="shared" ca="1" si="398"/>
        <v>6.1519999999999921</v>
      </c>
      <c r="T852" s="304">
        <f t="shared" ca="1" si="378"/>
        <v>60.351119999999923</v>
      </c>
      <c r="U852" s="311">
        <f t="shared" ca="1" si="379"/>
        <v>0</v>
      </c>
      <c r="V852" s="306">
        <f t="shared" ca="1" si="380"/>
        <v>1.2255104093319187</v>
      </c>
      <c r="W852" s="304">
        <f t="shared" ca="1" si="381"/>
        <v>52.199131590321031</v>
      </c>
      <c r="Y852" s="314" t="str">
        <f t="shared" ca="1" si="399"/>
        <v/>
      </c>
      <c r="Z852" s="315" t="str">
        <f t="shared" ca="1" si="400"/>
        <v/>
      </c>
      <c r="AA852" s="316" t="str">
        <f t="shared" ca="1" si="401"/>
        <v/>
      </c>
      <c r="AC852" s="310" t="e">
        <f t="shared" ca="1" si="402"/>
        <v>#N/A</v>
      </c>
      <c r="AD852" s="323" t="e">
        <f t="shared" ca="1" si="403"/>
        <v>#N/A</v>
      </c>
      <c r="AE852" s="324" t="e">
        <f t="shared" ca="1" si="382"/>
        <v>#N/A</v>
      </c>
      <c r="AG852" s="306">
        <f t="shared" ca="1" si="404"/>
        <v>1.31467994251555</v>
      </c>
      <c r="AH852" s="304">
        <f t="shared" ca="1" si="405"/>
        <v>-8.4848763893216148</v>
      </c>
    </row>
    <row r="853" spans="1:34" x14ac:dyDescent="0.2">
      <c r="A853" s="347">
        <f t="shared" ca="1" si="383"/>
        <v>1E-4</v>
      </c>
      <c r="B853" s="304">
        <f t="shared" ca="1" si="384"/>
        <v>41.407500000000525</v>
      </c>
      <c r="D853" s="306">
        <f t="shared" ca="1" si="385"/>
        <v>-0.39141296678586274</v>
      </c>
      <c r="E853" s="307">
        <f t="shared" ca="1" si="386"/>
        <v>-1.3341284932811135</v>
      </c>
      <c r="F853" s="304">
        <f t="shared" ca="1" si="387"/>
        <v>1.3903607255502599</v>
      </c>
      <c r="G853" s="306">
        <f t="shared" ca="1" si="388"/>
        <v>6.2310158992233999</v>
      </c>
      <c r="H853" s="307">
        <f t="shared" ca="1" si="389"/>
        <v>-134.93082390178969</v>
      </c>
      <c r="I853" s="304">
        <f t="shared" ca="1" si="390"/>
        <v>135.07461937000659</v>
      </c>
      <c r="J853" s="306">
        <f t="shared" ca="1" si="391"/>
        <v>568.62651553779426</v>
      </c>
      <c r="K853" s="307">
        <f t="shared" ca="1" si="392"/>
        <v>-4.1792320170821977</v>
      </c>
      <c r="L853" s="304">
        <f t="shared" ca="1" si="377"/>
        <v>568.64187337278099</v>
      </c>
      <c r="M853" s="306">
        <f t="shared" ca="1" si="393"/>
        <v>-1.5246497748100409</v>
      </c>
      <c r="N853" s="304">
        <f t="shared" ca="1" si="394"/>
        <v>-87.355997332186718</v>
      </c>
      <c r="P853" s="310">
        <f t="shared" ca="1" si="395"/>
        <v>23</v>
      </c>
      <c r="Q853" s="304">
        <f t="shared" ca="1" si="396"/>
        <v>0</v>
      </c>
      <c r="R853" s="306">
        <f t="shared" ca="1" si="397"/>
        <v>0</v>
      </c>
      <c r="S853" s="307">
        <f t="shared" ca="1" si="398"/>
        <v>6.1519999999999921</v>
      </c>
      <c r="T853" s="304">
        <f t="shared" ca="1" si="378"/>
        <v>60.351119999999923</v>
      </c>
      <c r="U853" s="311">
        <f t="shared" ca="1" si="379"/>
        <v>0</v>
      </c>
      <c r="V853" s="306">
        <f t="shared" ca="1" si="380"/>
        <v>1.2255120629235809</v>
      </c>
      <c r="W853" s="304">
        <f t="shared" ca="1" si="381"/>
        <v>52.199303631923648</v>
      </c>
      <c r="Y853" s="314" t="str">
        <f t="shared" ca="1" si="399"/>
        <v/>
      </c>
      <c r="Z853" s="315" t="str">
        <f t="shared" ca="1" si="400"/>
        <v/>
      </c>
      <c r="AA853" s="316" t="str">
        <f t="shared" ca="1" si="401"/>
        <v/>
      </c>
      <c r="AC853" s="310" t="e">
        <f t="shared" ca="1" si="402"/>
        <v>#N/A</v>
      </c>
      <c r="AD853" s="323" t="e">
        <f t="shared" ca="1" si="403"/>
        <v>#N/A</v>
      </c>
      <c r="AE853" s="324" t="e">
        <f t="shared" ca="1" si="382"/>
        <v>#N/A</v>
      </c>
      <c r="AG853" s="306">
        <f t="shared" ca="1" si="404"/>
        <v>1.314652128719878</v>
      </c>
      <c r="AH853" s="304">
        <f t="shared" ca="1" si="405"/>
        <v>-8.4849043547335992</v>
      </c>
    </row>
    <row r="854" spans="1:34" x14ac:dyDescent="0.2">
      <c r="A854" s="347">
        <f t="shared" ca="1" si="383"/>
        <v>1E-4</v>
      </c>
      <c r="B854" s="304">
        <f t="shared" ca="1" si="384"/>
        <v>41.407600000000528</v>
      </c>
      <c r="D854" s="306">
        <f t="shared" ca="1" si="385"/>
        <v>-0.39141141715309297</v>
      </c>
      <c r="E854" s="307">
        <f t="shared" ca="1" si="386"/>
        <v>-1.3341004267672592</v>
      </c>
      <c r="F854" s="304">
        <f t="shared" ca="1" si="387"/>
        <v>1.3903333579319657</v>
      </c>
      <c r="G854" s="306">
        <f t="shared" ca="1" si="388"/>
        <v>6.2309767580816846</v>
      </c>
      <c r="H854" s="307">
        <f t="shared" ca="1" si="389"/>
        <v>-134.93095731183237</v>
      </c>
      <c r="I854" s="304">
        <f t="shared" ca="1" si="390"/>
        <v>135.07475083244569</v>
      </c>
      <c r="J854" s="306">
        <f t="shared" ca="1" si="391"/>
        <v>568.62651553779426</v>
      </c>
      <c r="K854" s="307">
        <f t="shared" ca="1" si="392"/>
        <v>-4.1927251061428787</v>
      </c>
      <c r="L854" s="304">
        <f t="shared" ca="1" si="377"/>
        <v>568.64197270028262</v>
      </c>
      <c r="M854" s="306">
        <f t="shared" ca="1" si="393"/>
        <v>-1.5246501098371417</v>
      </c>
      <c r="N854" s="304">
        <f t="shared" ca="1" si="394"/>
        <v>-87.356016527825616</v>
      </c>
      <c r="P854" s="310">
        <f t="shared" ca="1" si="395"/>
        <v>23</v>
      </c>
      <c r="Q854" s="304">
        <f t="shared" ca="1" si="396"/>
        <v>0</v>
      </c>
      <c r="R854" s="306">
        <f t="shared" ca="1" si="397"/>
        <v>0</v>
      </c>
      <c r="S854" s="307">
        <f t="shared" ca="1" si="398"/>
        <v>6.1519999999999921</v>
      </c>
      <c r="T854" s="304">
        <f t="shared" ca="1" si="378"/>
        <v>60.351119999999923</v>
      </c>
      <c r="U854" s="311">
        <f t="shared" ca="1" si="379"/>
        <v>0</v>
      </c>
      <c r="V854" s="306">
        <f t="shared" ca="1" si="380"/>
        <v>1.2255137165191099</v>
      </c>
      <c r="W854" s="304">
        <f t="shared" ca="1" si="381"/>
        <v>52.199475671914342</v>
      </c>
      <c r="Y854" s="314" t="str">
        <f t="shared" ca="1" si="399"/>
        <v/>
      </c>
      <c r="Z854" s="315" t="str">
        <f t="shared" ca="1" si="400"/>
        <v/>
      </c>
      <c r="AA854" s="316" t="str">
        <f t="shared" ca="1" si="401"/>
        <v/>
      </c>
      <c r="AC854" s="310" t="e">
        <f t="shared" ca="1" si="402"/>
        <v>#N/A</v>
      </c>
      <c r="AD854" s="323" t="e">
        <f t="shared" ca="1" si="403"/>
        <v>#N/A</v>
      </c>
      <c r="AE854" s="324" t="e">
        <f t="shared" ca="1" si="382"/>
        <v>#N/A</v>
      </c>
      <c r="AG854" s="306">
        <f t="shared" ca="1" si="404"/>
        <v>1.3146243151838704</v>
      </c>
      <c r="AH854" s="304">
        <f t="shared" ca="1" si="405"/>
        <v>-8.4849323198835691</v>
      </c>
    </row>
    <row r="855" spans="1:34" x14ac:dyDescent="0.2">
      <c r="A855" s="347">
        <f t="shared" ca="1" si="383"/>
        <v>1E-4</v>
      </c>
      <c r="B855" s="304">
        <f t="shared" ca="1" si="384"/>
        <v>41.407700000000531</v>
      </c>
      <c r="D855" s="306">
        <f t="shared" ca="1" si="385"/>
        <v>-0.39140986751284146</v>
      </c>
      <c r="E855" s="307">
        <f t="shared" ca="1" si="386"/>
        <v>-1.3340723605163074</v>
      </c>
      <c r="F855" s="304">
        <f t="shared" ca="1" si="387"/>
        <v>1.3903059905934279</v>
      </c>
      <c r="G855" s="306">
        <f t="shared" ca="1" si="388"/>
        <v>6.2309376170949333</v>
      </c>
      <c r="H855" s="307">
        <f t="shared" ca="1" si="389"/>
        <v>-134.93109071906844</v>
      </c>
      <c r="I855" s="304">
        <f t="shared" ca="1" si="390"/>
        <v>135.07488229210347</v>
      </c>
      <c r="J855" s="306">
        <f t="shared" ca="1" si="391"/>
        <v>568.62651553779426</v>
      </c>
      <c r="K855" s="307">
        <f t="shared" ca="1" si="392"/>
        <v>-4.2062182085444242</v>
      </c>
      <c r="L855" s="304">
        <f t="shared" ca="1" si="377"/>
        <v>568.64207234803791</v>
      </c>
      <c r="M855" s="306">
        <f t="shared" ca="1" si="393"/>
        <v>-1.5246504448614862</v>
      </c>
      <c r="N855" s="304">
        <f t="shared" ca="1" si="394"/>
        <v>-87.35603572330659</v>
      </c>
      <c r="P855" s="310">
        <f t="shared" ca="1" si="395"/>
        <v>23</v>
      </c>
      <c r="Q855" s="304">
        <f t="shared" ca="1" si="396"/>
        <v>0</v>
      </c>
      <c r="R855" s="306">
        <f t="shared" ca="1" si="397"/>
        <v>0</v>
      </c>
      <c r="S855" s="307">
        <f t="shared" ca="1" si="398"/>
        <v>6.1519999999999921</v>
      </c>
      <c r="T855" s="304">
        <f t="shared" ca="1" si="378"/>
        <v>60.351119999999923</v>
      </c>
      <c r="U855" s="311">
        <f t="shared" ca="1" si="379"/>
        <v>0</v>
      </c>
      <c r="V855" s="306">
        <f t="shared" ca="1" si="380"/>
        <v>1.2255153701185053</v>
      </c>
      <c r="W855" s="304">
        <f t="shared" ca="1" si="381"/>
        <v>52.199647710293121</v>
      </c>
      <c r="Y855" s="314" t="str">
        <f t="shared" ca="1" si="399"/>
        <v/>
      </c>
      <c r="Z855" s="315" t="str">
        <f t="shared" ca="1" si="400"/>
        <v/>
      </c>
      <c r="AA855" s="316" t="str">
        <f t="shared" ca="1" si="401"/>
        <v/>
      </c>
      <c r="AC855" s="310" t="e">
        <f t="shared" ca="1" si="402"/>
        <v>#N/A</v>
      </c>
      <c r="AD855" s="323" t="e">
        <f t="shared" ca="1" si="403"/>
        <v>#N/A</v>
      </c>
      <c r="AE855" s="324" t="e">
        <f t="shared" ca="1" si="382"/>
        <v>#N/A</v>
      </c>
      <c r="AG855" s="306">
        <f t="shared" ca="1" si="404"/>
        <v>1.3145965019075323</v>
      </c>
      <c r="AH855" s="304">
        <f t="shared" ca="1" si="405"/>
        <v>-8.4849602847715229</v>
      </c>
    </row>
    <row r="856" spans="1:34" x14ac:dyDescent="0.2">
      <c r="A856" s="347">
        <f t="shared" ca="1" si="383"/>
        <v>1E-4</v>
      </c>
      <c r="B856" s="304">
        <f t="shared" ca="1" si="384"/>
        <v>41.407800000000535</v>
      </c>
      <c r="D856" s="306">
        <f t="shared" ca="1" si="385"/>
        <v>-0.39140831786510316</v>
      </c>
      <c r="E856" s="307">
        <f t="shared" ca="1" si="386"/>
        <v>-1.3340442945282565</v>
      </c>
      <c r="F856" s="304">
        <f t="shared" ca="1" si="387"/>
        <v>1.3902786235346436</v>
      </c>
      <c r="G856" s="306">
        <f t="shared" ca="1" si="388"/>
        <v>6.230898476263147</v>
      </c>
      <c r="H856" s="307">
        <f t="shared" ca="1" si="389"/>
        <v>-134.93122412349788</v>
      </c>
      <c r="I856" s="304">
        <f t="shared" ca="1" si="390"/>
        <v>135.07501374897993</v>
      </c>
      <c r="J856" s="306">
        <f t="shared" ca="1" si="391"/>
        <v>568.62651553779426</v>
      </c>
      <c r="K856" s="307">
        <f t="shared" ca="1" si="392"/>
        <v>-4.2197113242865525</v>
      </c>
      <c r="L856" s="304">
        <f t="shared" ca="1" si="377"/>
        <v>568.64217231604766</v>
      </c>
      <c r="M856" s="306">
        <f t="shared" ca="1" si="393"/>
        <v>-1.5246507798830737</v>
      </c>
      <c r="N856" s="304">
        <f t="shared" ca="1" si="394"/>
        <v>-87.356054918629596</v>
      </c>
      <c r="P856" s="310">
        <f t="shared" ca="1" si="395"/>
        <v>23</v>
      </c>
      <c r="Q856" s="304">
        <f t="shared" ca="1" si="396"/>
        <v>0</v>
      </c>
      <c r="R856" s="306">
        <f t="shared" ca="1" si="397"/>
        <v>0</v>
      </c>
      <c r="S856" s="307">
        <f t="shared" ca="1" si="398"/>
        <v>6.1519999999999921</v>
      </c>
      <c r="T856" s="304">
        <f t="shared" ca="1" si="378"/>
        <v>60.351119999999923</v>
      </c>
      <c r="U856" s="311">
        <f t="shared" ca="1" si="379"/>
        <v>0</v>
      </c>
      <c r="V856" s="306">
        <f t="shared" ca="1" si="380"/>
        <v>1.2255170237217679</v>
      </c>
      <c r="W856" s="304">
        <f t="shared" ca="1" si="381"/>
        <v>52.199819747060026</v>
      </c>
      <c r="Y856" s="314" t="str">
        <f t="shared" ca="1" si="399"/>
        <v/>
      </c>
      <c r="Z856" s="315" t="str">
        <f t="shared" ca="1" si="400"/>
        <v/>
      </c>
      <c r="AA856" s="316" t="str">
        <f t="shared" ca="1" si="401"/>
        <v/>
      </c>
      <c r="AC856" s="310" t="e">
        <f t="shared" ca="1" si="402"/>
        <v>#N/A</v>
      </c>
      <c r="AD856" s="323" t="e">
        <f t="shared" ca="1" si="403"/>
        <v>#N/A</v>
      </c>
      <c r="AE856" s="324" t="e">
        <f t="shared" ca="1" si="382"/>
        <v>#N/A</v>
      </c>
      <c r="AG856" s="306">
        <f t="shared" ca="1" si="404"/>
        <v>1.3145686888908639</v>
      </c>
      <c r="AH856" s="304">
        <f t="shared" ca="1" si="405"/>
        <v>-8.4849882493974622</v>
      </c>
    </row>
    <row r="857" spans="1:34" x14ac:dyDescent="0.2">
      <c r="A857" s="347">
        <f t="shared" ca="1" si="383"/>
        <v>1E-4</v>
      </c>
      <c r="B857" s="304">
        <f t="shared" ca="1" si="384"/>
        <v>41.407900000000538</v>
      </c>
      <c r="D857" s="306">
        <f t="shared" ca="1" si="385"/>
        <v>-0.39140676820988451</v>
      </c>
      <c r="E857" s="307">
        <f t="shared" ca="1" si="386"/>
        <v>-1.3340162288030992</v>
      </c>
      <c r="F857" s="304">
        <f t="shared" ca="1" si="387"/>
        <v>1.3902512567556085</v>
      </c>
      <c r="G857" s="306">
        <f t="shared" ca="1" si="388"/>
        <v>6.2308593355863255</v>
      </c>
      <c r="H857" s="307">
        <f t="shared" ca="1" si="389"/>
        <v>-134.93135752512077</v>
      </c>
      <c r="I857" s="304">
        <f t="shared" ca="1" si="390"/>
        <v>135.07514520307512</v>
      </c>
      <c r="J857" s="306">
        <f t="shared" ca="1" si="391"/>
        <v>568.62651553779426</v>
      </c>
      <c r="K857" s="307">
        <f t="shared" ca="1" si="392"/>
        <v>-4.233204453368983</v>
      </c>
      <c r="L857" s="304">
        <f t="shared" ca="1" si="377"/>
        <v>568.64227260431267</v>
      </c>
      <c r="M857" s="306">
        <f t="shared" ca="1" si="393"/>
        <v>-1.5246511149019049</v>
      </c>
      <c r="N857" s="304">
        <f t="shared" ca="1" si="394"/>
        <v>-87.356074113794676</v>
      </c>
      <c r="P857" s="310">
        <f t="shared" ca="1" si="395"/>
        <v>23</v>
      </c>
      <c r="Q857" s="304">
        <f t="shared" ca="1" si="396"/>
        <v>0</v>
      </c>
      <c r="R857" s="306">
        <f t="shared" ca="1" si="397"/>
        <v>0</v>
      </c>
      <c r="S857" s="307">
        <f t="shared" ca="1" si="398"/>
        <v>6.1519999999999921</v>
      </c>
      <c r="T857" s="304">
        <f t="shared" ca="1" si="378"/>
        <v>60.351119999999923</v>
      </c>
      <c r="U857" s="311">
        <f t="shared" ca="1" si="379"/>
        <v>0</v>
      </c>
      <c r="V857" s="306">
        <f t="shared" ca="1" si="380"/>
        <v>1.2255186773288966</v>
      </c>
      <c r="W857" s="304">
        <f t="shared" ca="1" si="381"/>
        <v>52.199991782215037</v>
      </c>
      <c r="Y857" s="314" t="str">
        <f t="shared" ca="1" si="399"/>
        <v/>
      </c>
      <c r="Z857" s="315" t="str">
        <f t="shared" ca="1" si="400"/>
        <v/>
      </c>
      <c r="AA857" s="316" t="str">
        <f t="shared" ca="1" si="401"/>
        <v/>
      </c>
      <c r="AC857" s="310" t="e">
        <f t="shared" ca="1" si="402"/>
        <v>#N/A</v>
      </c>
      <c r="AD857" s="323" t="e">
        <f t="shared" ca="1" si="403"/>
        <v>#N/A</v>
      </c>
      <c r="AE857" s="324" t="e">
        <f t="shared" ca="1" si="382"/>
        <v>#N/A</v>
      </c>
      <c r="AG857" s="306">
        <f t="shared" ca="1" si="404"/>
        <v>1.3145408761338526</v>
      </c>
      <c r="AH857" s="304">
        <f t="shared" ca="1" si="405"/>
        <v>-8.4850162137613943</v>
      </c>
    </row>
    <row r="858" spans="1:34" x14ac:dyDescent="0.2">
      <c r="A858" s="347">
        <f t="shared" ca="1" si="383"/>
        <v>1E-4</v>
      </c>
      <c r="B858" s="304">
        <f t="shared" ca="1" si="384"/>
        <v>41.408000000000541</v>
      </c>
      <c r="D858" s="306">
        <f t="shared" ca="1" si="385"/>
        <v>-0.39140521854718202</v>
      </c>
      <c r="E858" s="307">
        <f t="shared" ca="1" si="386"/>
        <v>-1.3339881633408428</v>
      </c>
      <c r="F858" s="304">
        <f t="shared" ca="1" si="387"/>
        <v>1.3902238902563293</v>
      </c>
      <c r="G858" s="306">
        <f t="shared" ca="1" si="388"/>
        <v>6.2308201950644708</v>
      </c>
      <c r="H858" s="307">
        <f t="shared" ca="1" si="389"/>
        <v>-134.9314909239371</v>
      </c>
      <c r="I858" s="304">
        <f t="shared" ca="1" si="390"/>
        <v>135.07527665438909</v>
      </c>
      <c r="J858" s="306">
        <f t="shared" ca="1" si="391"/>
        <v>568.62651553779426</v>
      </c>
      <c r="K858" s="307">
        <f t="shared" ca="1" si="392"/>
        <v>-4.2466975957914359</v>
      </c>
      <c r="L858" s="304">
        <f t="shared" ca="1" si="377"/>
        <v>568.64237321283349</v>
      </c>
      <c r="M858" s="306">
        <f t="shared" ca="1" si="393"/>
        <v>-1.5246514499179793</v>
      </c>
      <c r="N858" s="304">
        <f t="shared" ca="1" si="394"/>
        <v>-87.356093308801817</v>
      </c>
      <c r="P858" s="310">
        <f t="shared" ca="1" si="395"/>
        <v>23</v>
      </c>
      <c r="Q858" s="304">
        <f t="shared" ca="1" si="396"/>
        <v>0</v>
      </c>
      <c r="R858" s="306">
        <f t="shared" ca="1" si="397"/>
        <v>0</v>
      </c>
      <c r="S858" s="307">
        <f t="shared" ca="1" si="398"/>
        <v>6.1519999999999921</v>
      </c>
      <c r="T858" s="304">
        <f t="shared" ca="1" si="378"/>
        <v>60.351119999999923</v>
      </c>
      <c r="U858" s="311">
        <f t="shared" ca="1" si="379"/>
        <v>0</v>
      </c>
      <c r="V858" s="306">
        <f t="shared" ca="1" si="380"/>
        <v>1.2255203309398919</v>
      </c>
      <c r="W858" s="304">
        <f t="shared" ca="1" si="381"/>
        <v>52.200163815758152</v>
      </c>
      <c r="Y858" s="314" t="str">
        <f t="shared" ca="1" si="399"/>
        <v/>
      </c>
      <c r="Z858" s="315" t="str">
        <f t="shared" ca="1" si="400"/>
        <v/>
      </c>
      <c r="AA858" s="316" t="str">
        <f t="shared" ca="1" si="401"/>
        <v/>
      </c>
      <c r="AC858" s="310" t="e">
        <f t="shared" ca="1" si="402"/>
        <v>#N/A</v>
      </c>
      <c r="AD858" s="323" t="e">
        <f t="shared" ca="1" si="403"/>
        <v>#N/A</v>
      </c>
      <c r="AE858" s="324" t="e">
        <f t="shared" ca="1" si="382"/>
        <v>#N/A</v>
      </c>
      <c r="AG858" s="306">
        <f t="shared" ca="1" si="404"/>
        <v>1.3145130636365074</v>
      </c>
      <c r="AH858" s="304">
        <f t="shared" ca="1" si="405"/>
        <v>-8.4850441778633137</v>
      </c>
    </row>
    <row r="859" spans="1:34" x14ac:dyDescent="0.2">
      <c r="A859" s="347">
        <f t="shared" ca="1" si="383"/>
        <v>1E-4</v>
      </c>
      <c r="B859" s="304">
        <f t="shared" ca="1" si="384"/>
        <v>41.408100000000545</v>
      </c>
      <c r="D859" s="306">
        <f t="shared" ca="1" si="385"/>
        <v>-0.39140366887699812</v>
      </c>
      <c r="E859" s="307">
        <f t="shared" ca="1" si="386"/>
        <v>-1.3339600981414836</v>
      </c>
      <c r="F859" s="304">
        <f t="shared" ca="1" si="387"/>
        <v>1.3901965240368037</v>
      </c>
      <c r="G859" s="306">
        <f t="shared" ca="1" si="388"/>
        <v>6.2307810546975828</v>
      </c>
      <c r="H859" s="307">
        <f t="shared" ca="1" si="389"/>
        <v>-134.93162431994691</v>
      </c>
      <c r="I859" s="304">
        <f t="shared" ca="1" si="390"/>
        <v>135.07540810292178</v>
      </c>
      <c r="J859" s="306">
        <f t="shared" ca="1" si="391"/>
        <v>568.62651553779426</v>
      </c>
      <c r="K859" s="307">
        <f t="shared" ca="1" si="392"/>
        <v>-4.2601907515536297</v>
      </c>
      <c r="L859" s="304">
        <f t="shared" ca="1" si="377"/>
        <v>568.64247414161127</v>
      </c>
      <c r="M859" s="306">
        <f t="shared" ca="1" si="393"/>
        <v>-1.5246517849312973</v>
      </c>
      <c r="N859" s="304">
        <f t="shared" ca="1" si="394"/>
        <v>-87.356112503651019</v>
      </c>
      <c r="P859" s="310">
        <f t="shared" ca="1" si="395"/>
        <v>23</v>
      </c>
      <c r="Q859" s="304">
        <f t="shared" ca="1" si="396"/>
        <v>0</v>
      </c>
      <c r="R859" s="306">
        <f t="shared" ca="1" si="397"/>
        <v>0</v>
      </c>
      <c r="S859" s="307">
        <f t="shared" ca="1" si="398"/>
        <v>6.1519999999999921</v>
      </c>
      <c r="T859" s="304">
        <f t="shared" ca="1" si="378"/>
        <v>60.351119999999923</v>
      </c>
      <c r="U859" s="311">
        <f t="shared" ca="1" si="379"/>
        <v>0</v>
      </c>
      <c r="V859" s="306">
        <f t="shared" ca="1" si="380"/>
        <v>1.225521984554754</v>
      </c>
      <c r="W859" s="304">
        <f t="shared" ca="1" si="381"/>
        <v>52.200335847689381</v>
      </c>
      <c r="Y859" s="314" t="str">
        <f t="shared" ca="1" si="399"/>
        <v/>
      </c>
      <c r="Z859" s="315" t="str">
        <f t="shared" ca="1" si="400"/>
        <v/>
      </c>
      <c r="AA859" s="316" t="str">
        <f t="shared" ca="1" si="401"/>
        <v/>
      </c>
      <c r="AC859" s="310" t="e">
        <f t="shared" ca="1" si="402"/>
        <v>#N/A</v>
      </c>
      <c r="AD859" s="323" t="e">
        <f t="shared" ca="1" si="403"/>
        <v>#N/A</v>
      </c>
      <c r="AE859" s="324" t="e">
        <f t="shared" ca="1" si="382"/>
        <v>#N/A</v>
      </c>
      <c r="AG859" s="306">
        <f t="shared" ca="1" si="404"/>
        <v>1.3144852513988265</v>
      </c>
      <c r="AH859" s="304">
        <f t="shared" ca="1" si="405"/>
        <v>-8.4850721417032222</v>
      </c>
    </row>
    <row r="860" spans="1:34" x14ac:dyDescent="0.2">
      <c r="A860" s="347">
        <f t="shared" ca="1" si="383"/>
        <v>1E-4</v>
      </c>
      <c r="B860" s="304">
        <f t="shared" ca="1" si="384"/>
        <v>41.408200000000548</v>
      </c>
      <c r="D860" s="306">
        <f t="shared" ca="1" si="385"/>
        <v>-0.39140211919933149</v>
      </c>
      <c r="E860" s="307">
        <f t="shared" ca="1" si="386"/>
        <v>-1.3339320332050217</v>
      </c>
      <c r="F860" s="304">
        <f t="shared" ca="1" si="387"/>
        <v>1.3901691580970321</v>
      </c>
      <c r="G860" s="306">
        <f t="shared" ca="1" si="388"/>
        <v>6.2307419144856633</v>
      </c>
      <c r="H860" s="307">
        <f t="shared" ca="1" si="389"/>
        <v>-134.93175771315023</v>
      </c>
      <c r="I860" s="304">
        <f t="shared" ca="1" si="390"/>
        <v>135.07553954867331</v>
      </c>
      <c r="J860" s="306">
        <f t="shared" ca="1" si="391"/>
        <v>568.62651553779426</v>
      </c>
      <c r="K860" s="307">
        <f t="shared" ca="1" si="392"/>
        <v>-4.2736839206552846</v>
      </c>
      <c r="L860" s="304">
        <f t="shared" ca="1" si="377"/>
        <v>568.64257539064647</v>
      </c>
      <c r="M860" s="306">
        <f t="shared" ca="1" si="393"/>
        <v>-1.5246521199418588</v>
      </c>
      <c r="N860" s="304">
        <f t="shared" ca="1" si="394"/>
        <v>-87.356131698342281</v>
      </c>
      <c r="P860" s="310">
        <f t="shared" ca="1" si="395"/>
        <v>23</v>
      </c>
      <c r="Q860" s="304">
        <f t="shared" ca="1" si="396"/>
        <v>0</v>
      </c>
      <c r="R860" s="306">
        <f t="shared" ca="1" si="397"/>
        <v>0</v>
      </c>
      <c r="S860" s="307">
        <f t="shared" ca="1" si="398"/>
        <v>6.1519999999999921</v>
      </c>
      <c r="T860" s="304">
        <f t="shared" ca="1" si="378"/>
        <v>60.351119999999923</v>
      </c>
      <c r="U860" s="311">
        <f t="shared" ca="1" si="379"/>
        <v>0</v>
      </c>
      <c r="V860" s="306">
        <f t="shared" ca="1" si="380"/>
        <v>1.2255236381734826</v>
      </c>
      <c r="W860" s="304">
        <f t="shared" ca="1" si="381"/>
        <v>52.20050787800875</v>
      </c>
      <c r="Y860" s="314" t="str">
        <f t="shared" ca="1" si="399"/>
        <v/>
      </c>
      <c r="Z860" s="315" t="str">
        <f t="shared" ca="1" si="400"/>
        <v/>
      </c>
      <c r="AA860" s="316" t="str">
        <f t="shared" ca="1" si="401"/>
        <v/>
      </c>
      <c r="AC860" s="310" t="e">
        <f t="shared" ca="1" si="402"/>
        <v>#N/A</v>
      </c>
      <c r="AD860" s="323" t="e">
        <f t="shared" ca="1" si="403"/>
        <v>#N/A</v>
      </c>
      <c r="AE860" s="324" t="e">
        <f t="shared" ca="1" si="382"/>
        <v>#N/A</v>
      </c>
      <c r="AG860" s="306">
        <f t="shared" ca="1" si="404"/>
        <v>1.3144574394208099</v>
      </c>
      <c r="AH860" s="304">
        <f t="shared" ca="1" si="405"/>
        <v>-8.4851001052811199</v>
      </c>
    </row>
    <row r="861" spans="1:34" x14ac:dyDescent="0.2">
      <c r="A861" s="347">
        <f t="shared" ca="1" si="383"/>
        <v>1E-4</v>
      </c>
      <c r="B861" s="304">
        <f t="shared" ca="1" si="384"/>
        <v>41.408300000000551</v>
      </c>
      <c r="D861" s="306">
        <f t="shared" ca="1" si="385"/>
        <v>-0.39140056951418273</v>
      </c>
      <c r="E861" s="307">
        <f t="shared" ca="1" si="386"/>
        <v>-1.3339039685314535</v>
      </c>
      <c r="F861" s="304">
        <f t="shared" ca="1" si="387"/>
        <v>1.3901417924370116</v>
      </c>
      <c r="G861" s="306">
        <f t="shared" ca="1" si="388"/>
        <v>6.2307027744287122</v>
      </c>
      <c r="H861" s="307">
        <f t="shared" ca="1" si="389"/>
        <v>-134.93189110354709</v>
      </c>
      <c r="I861" s="304">
        <f t="shared" ca="1" si="390"/>
        <v>135.07567099164365</v>
      </c>
      <c r="J861" s="306">
        <f t="shared" ca="1" si="391"/>
        <v>568.62651553779426</v>
      </c>
      <c r="K861" s="307">
        <f t="shared" ca="1" si="392"/>
        <v>-4.2871771030961199</v>
      </c>
      <c r="L861" s="304">
        <f t="shared" ca="1" si="377"/>
        <v>568.64267695993999</v>
      </c>
      <c r="M861" s="306">
        <f t="shared" ca="1" si="393"/>
        <v>-1.5246524549496638</v>
      </c>
      <c r="N861" s="304">
        <f t="shared" ca="1" si="394"/>
        <v>-87.356150892875618</v>
      </c>
      <c r="P861" s="310">
        <f t="shared" ca="1" si="395"/>
        <v>23</v>
      </c>
      <c r="Q861" s="304">
        <f t="shared" ca="1" si="396"/>
        <v>0</v>
      </c>
      <c r="R861" s="306">
        <f t="shared" ca="1" si="397"/>
        <v>0</v>
      </c>
      <c r="S861" s="307">
        <f t="shared" ca="1" si="398"/>
        <v>6.1519999999999921</v>
      </c>
      <c r="T861" s="304">
        <f t="shared" ca="1" si="378"/>
        <v>60.351119999999923</v>
      </c>
      <c r="U861" s="311">
        <f t="shared" ca="1" si="379"/>
        <v>0</v>
      </c>
      <c r="V861" s="306">
        <f t="shared" ca="1" si="380"/>
        <v>1.2255252917960773</v>
      </c>
      <c r="W861" s="304">
        <f t="shared" ca="1" si="381"/>
        <v>52.200679906716218</v>
      </c>
      <c r="Y861" s="314" t="str">
        <f t="shared" ca="1" si="399"/>
        <v/>
      </c>
      <c r="Z861" s="315" t="str">
        <f t="shared" ca="1" si="400"/>
        <v/>
      </c>
      <c r="AA861" s="316" t="str">
        <f t="shared" ca="1" si="401"/>
        <v/>
      </c>
      <c r="AC861" s="310" t="e">
        <f t="shared" ca="1" si="402"/>
        <v>#N/A</v>
      </c>
      <c r="AD861" s="323" t="e">
        <f t="shared" ca="1" si="403"/>
        <v>#N/A</v>
      </c>
      <c r="AE861" s="324" t="e">
        <f t="shared" ca="1" si="382"/>
        <v>#N/A</v>
      </c>
      <c r="AG861" s="306">
        <f t="shared" ca="1" si="404"/>
        <v>1.3144296277024505</v>
      </c>
      <c r="AH861" s="304">
        <f t="shared" ca="1" si="405"/>
        <v>-8.4851280685970121</v>
      </c>
    </row>
    <row r="862" spans="1:34" x14ac:dyDescent="0.2">
      <c r="A862" s="347">
        <f t="shared" ca="1" si="383"/>
        <v>1E-4</v>
      </c>
      <c r="B862" s="304">
        <f t="shared" ca="1" si="384"/>
        <v>41.408400000000555</v>
      </c>
      <c r="D862" s="306">
        <f t="shared" ca="1" si="385"/>
        <v>-0.39139901982155217</v>
      </c>
      <c r="E862" s="307">
        <f t="shared" ca="1" si="386"/>
        <v>-1.3338759041207862</v>
      </c>
      <c r="F862" s="304">
        <f t="shared" ca="1" si="387"/>
        <v>1.39011442705675</v>
      </c>
      <c r="G862" s="306">
        <f t="shared" ca="1" si="388"/>
        <v>6.2306636345267297</v>
      </c>
      <c r="H862" s="307">
        <f t="shared" ca="1" si="389"/>
        <v>-134.9320244911375</v>
      </c>
      <c r="I862" s="304">
        <f t="shared" ca="1" si="390"/>
        <v>135.07580243183287</v>
      </c>
      <c r="J862" s="306">
        <f t="shared" ca="1" si="391"/>
        <v>568.62651553779426</v>
      </c>
      <c r="K862" s="307">
        <f t="shared" ca="1" si="392"/>
        <v>-4.3006702988758541</v>
      </c>
      <c r="L862" s="304">
        <f t="shared" ca="1" si="377"/>
        <v>568.64277884949263</v>
      </c>
      <c r="M862" s="306">
        <f t="shared" ca="1" si="393"/>
        <v>-1.5246527899547124</v>
      </c>
      <c r="N862" s="304">
        <f t="shared" ca="1" si="394"/>
        <v>-87.356170087251016</v>
      </c>
      <c r="P862" s="310">
        <f t="shared" ca="1" si="395"/>
        <v>23</v>
      </c>
      <c r="Q862" s="304">
        <f t="shared" ca="1" si="396"/>
        <v>0</v>
      </c>
      <c r="R862" s="306">
        <f t="shared" ca="1" si="397"/>
        <v>0</v>
      </c>
      <c r="S862" s="307">
        <f t="shared" ca="1" si="398"/>
        <v>6.1519999999999921</v>
      </c>
      <c r="T862" s="304">
        <f t="shared" ca="1" si="378"/>
        <v>60.351119999999923</v>
      </c>
      <c r="U862" s="311">
        <f t="shared" ca="1" si="379"/>
        <v>0</v>
      </c>
      <c r="V862" s="306">
        <f t="shared" ca="1" si="380"/>
        <v>1.2255269454225386</v>
      </c>
      <c r="W862" s="304">
        <f t="shared" ca="1" si="381"/>
        <v>52.200851933811862</v>
      </c>
      <c r="Y862" s="314" t="str">
        <f t="shared" ca="1" si="399"/>
        <v/>
      </c>
      <c r="Z862" s="315" t="str">
        <f t="shared" ca="1" si="400"/>
        <v/>
      </c>
      <c r="AA862" s="316" t="str">
        <f t="shared" ca="1" si="401"/>
        <v/>
      </c>
      <c r="AC862" s="310" t="e">
        <f t="shared" ca="1" si="402"/>
        <v>#N/A</v>
      </c>
      <c r="AD862" s="323" t="e">
        <f t="shared" ca="1" si="403"/>
        <v>#N/A</v>
      </c>
      <c r="AE862" s="324" t="e">
        <f t="shared" ca="1" si="382"/>
        <v>#N/A</v>
      </c>
      <c r="AG862" s="306">
        <f t="shared" ca="1" si="404"/>
        <v>1.3144018162437554</v>
      </c>
      <c r="AH862" s="304">
        <f t="shared" ca="1" si="405"/>
        <v>-8.4851560316508916</v>
      </c>
    </row>
    <row r="863" spans="1:34" x14ac:dyDescent="0.2">
      <c r="A863" s="347">
        <f t="shared" ca="1" si="383"/>
        <v>1E-4</v>
      </c>
      <c r="B863" s="304">
        <f t="shared" ca="1" si="384"/>
        <v>41.408500000000558</v>
      </c>
      <c r="D863" s="306">
        <f t="shared" ca="1" si="385"/>
        <v>-0.39139747012144077</v>
      </c>
      <c r="E863" s="307">
        <f t="shared" ca="1" si="386"/>
        <v>-1.3338478399730054</v>
      </c>
      <c r="F863" s="304">
        <f t="shared" ca="1" si="387"/>
        <v>1.3900870619562347</v>
      </c>
      <c r="G863" s="306">
        <f t="shared" ca="1" si="388"/>
        <v>6.2306244947797174</v>
      </c>
      <c r="H863" s="307">
        <f t="shared" ca="1" si="389"/>
        <v>-134.93215787592149</v>
      </c>
      <c r="I863" s="304">
        <f t="shared" ca="1" si="390"/>
        <v>135.07593386924094</v>
      </c>
      <c r="J863" s="306">
        <f t="shared" ca="1" si="391"/>
        <v>568.62651553779426</v>
      </c>
      <c r="K863" s="307">
        <f t="shared" ca="1" si="392"/>
        <v>-4.3141635079942073</v>
      </c>
      <c r="L863" s="304">
        <f t="shared" ca="1" si="377"/>
        <v>568.64288105930518</v>
      </c>
      <c r="M863" s="306">
        <f t="shared" ca="1" si="393"/>
        <v>-1.5246531249570048</v>
      </c>
      <c r="N863" s="304">
        <f t="shared" ca="1" si="394"/>
        <v>-87.356189281468502</v>
      </c>
      <c r="P863" s="310">
        <f t="shared" ca="1" si="395"/>
        <v>23</v>
      </c>
      <c r="Q863" s="304">
        <f t="shared" ca="1" si="396"/>
        <v>0</v>
      </c>
      <c r="R863" s="306">
        <f t="shared" ca="1" si="397"/>
        <v>0</v>
      </c>
      <c r="S863" s="307">
        <f t="shared" ca="1" si="398"/>
        <v>6.1519999999999921</v>
      </c>
      <c r="T863" s="304">
        <f t="shared" ca="1" si="378"/>
        <v>60.351119999999923</v>
      </c>
      <c r="U863" s="311">
        <f t="shared" ca="1" si="379"/>
        <v>0</v>
      </c>
      <c r="V863" s="306">
        <f t="shared" ca="1" si="380"/>
        <v>1.2255285990528668</v>
      </c>
      <c r="W863" s="304">
        <f t="shared" ca="1" si="381"/>
        <v>52.20102395929564</v>
      </c>
      <c r="Y863" s="314" t="str">
        <f t="shared" ca="1" si="399"/>
        <v/>
      </c>
      <c r="Z863" s="315" t="str">
        <f t="shared" ca="1" si="400"/>
        <v/>
      </c>
      <c r="AA863" s="316" t="str">
        <f t="shared" ca="1" si="401"/>
        <v/>
      </c>
      <c r="AC863" s="310" t="e">
        <f t="shared" ca="1" si="402"/>
        <v>#N/A</v>
      </c>
      <c r="AD863" s="323" t="e">
        <f t="shared" ca="1" si="403"/>
        <v>#N/A</v>
      </c>
      <c r="AE863" s="324" t="e">
        <f t="shared" ca="1" si="382"/>
        <v>#N/A</v>
      </c>
      <c r="AG863" s="306">
        <f t="shared" ca="1" si="404"/>
        <v>1.3143740050447139</v>
      </c>
      <c r="AH863" s="304">
        <f t="shared" ca="1" si="405"/>
        <v>-8.4851839944427709</v>
      </c>
    </row>
    <row r="864" spans="1:34" x14ac:dyDescent="0.2">
      <c r="A864" s="347">
        <f t="shared" ca="1" si="383"/>
        <v>1E-4</v>
      </c>
      <c r="B864" s="304">
        <f t="shared" ca="1" si="384"/>
        <v>41.408600000000561</v>
      </c>
      <c r="D864" s="306">
        <f t="shared" ca="1" si="385"/>
        <v>-0.39139592041384696</v>
      </c>
      <c r="E864" s="307">
        <f t="shared" ca="1" si="386"/>
        <v>-1.3338197760881148</v>
      </c>
      <c r="F864" s="304">
        <f t="shared" ca="1" si="387"/>
        <v>1.3900596971354686</v>
      </c>
      <c r="G864" s="306">
        <f t="shared" ca="1" si="388"/>
        <v>6.2305853551876762</v>
      </c>
      <c r="H864" s="307">
        <f t="shared" ca="1" si="389"/>
        <v>-134.9322912578991</v>
      </c>
      <c r="I864" s="304">
        <f t="shared" ca="1" si="390"/>
        <v>135.07606530386792</v>
      </c>
      <c r="J864" s="306">
        <f t="shared" ca="1" si="391"/>
        <v>568.62651553779426</v>
      </c>
      <c r="K864" s="307">
        <f t="shared" ca="1" si="392"/>
        <v>-4.3276567304508982</v>
      </c>
      <c r="L864" s="304">
        <f t="shared" ca="1" si="377"/>
        <v>568.64298358937833</v>
      </c>
      <c r="M864" s="306">
        <f t="shared" ca="1" si="393"/>
        <v>-1.5246534599565407</v>
      </c>
      <c r="N864" s="304">
        <f t="shared" ca="1" si="394"/>
        <v>-87.356208475528049</v>
      </c>
      <c r="P864" s="310">
        <f t="shared" ca="1" si="395"/>
        <v>23</v>
      </c>
      <c r="Q864" s="304">
        <f t="shared" ca="1" si="396"/>
        <v>0</v>
      </c>
      <c r="R864" s="306">
        <f t="shared" ca="1" si="397"/>
        <v>0</v>
      </c>
      <c r="S864" s="307">
        <f t="shared" ca="1" si="398"/>
        <v>6.1519999999999921</v>
      </c>
      <c r="T864" s="304">
        <f t="shared" ca="1" si="378"/>
        <v>60.351119999999923</v>
      </c>
      <c r="U864" s="311">
        <f t="shared" ca="1" si="379"/>
        <v>0</v>
      </c>
      <c r="V864" s="306">
        <f t="shared" ca="1" si="380"/>
        <v>1.2255302526870606</v>
      </c>
      <c r="W864" s="304">
        <f t="shared" ca="1" si="381"/>
        <v>52.201195983167516</v>
      </c>
      <c r="Y864" s="314" t="str">
        <f t="shared" ca="1" si="399"/>
        <v/>
      </c>
      <c r="Z864" s="315" t="str">
        <f t="shared" ca="1" si="400"/>
        <v/>
      </c>
      <c r="AA864" s="316" t="str">
        <f t="shared" ca="1" si="401"/>
        <v/>
      </c>
      <c r="AC864" s="310" t="e">
        <f t="shared" ca="1" si="402"/>
        <v>#N/A</v>
      </c>
      <c r="AD864" s="323" t="e">
        <f t="shared" ca="1" si="403"/>
        <v>#N/A</v>
      </c>
      <c r="AE864" s="324" t="e">
        <f t="shared" ca="1" si="382"/>
        <v>#N/A</v>
      </c>
      <c r="AG864" s="306">
        <f t="shared" ca="1" si="404"/>
        <v>1.3143461941053314</v>
      </c>
      <c r="AH864" s="304">
        <f t="shared" ca="1" si="405"/>
        <v>-8.4852119569726447</v>
      </c>
    </row>
    <row r="865" spans="1:34" x14ac:dyDescent="0.2">
      <c r="A865" s="347">
        <f t="shared" ca="1" si="383"/>
        <v>1E-4</v>
      </c>
      <c r="B865" s="304">
        <f t="shared" ca="1" si="384"/>
        <v>41.408700000000565</v>
      </c>
      <c r="D865" s="306">
        <f t="shared" ca="1" si="385"/>
        <v>-0.3913943706987727</v>
      </c>
      <c r="E865" s="307">
        <f t="shared" ca="1" si="386"/>
        <v>-1.3337917124661285</v>
      </c>
      <c r="F865" s="304">
        <f t="shared" ca="1" si="387"/>
        <v>1.3900323325944675</v>
      </c>
      <c r="G865" s="306">
        <f t="shared" ca="1" si="388"/>
        <v>6.2305462157506062</v>
      </c>
      <c r="H865" s="307">
        <f t="shared" ca="1" si="389"/>
        <v>-134.93242463707034</v>
      </c>
      <c r="I865" s="304">
        <f t="shared" ca="1" si="390"/>
        <v>135.07619673571384</v>
      </c>
      <c r="J865" s="306">
        <f t="shared" ca="1" si="391"/>
        <v>568.62651553779426</v>
      </c>
      <c r="K865" s="307">
        <f t="shared" ca="1" si="392"/>
        <v>-4.3411499662456468</v>
      </c>
      <c r="L865" s="304">
        <f t="shared" ca="1" si="377"/>
        <v>568.64308643971287</v>
      </c>
      <c r="M865" s="306">
        <f t="shared" ca="1" si="393"/>
        <v>-1.5246537949533201</v>
      </c>
      <c r="N865" s="304">
        <f t="shared" ca="1" si="394"/>
        <v>-87.356227669429657</v>
      </c>
      <c r="P865" s="310">
        <f t="shared" ca="1" si="395"/>
        <v>23</v>
      </c>
      <c r="Q865" s="304">
        <f t="shared" ca="1" si="396"/>
        <v>0</v>
      </c>
      <c r="R865" s="306">
        <f t="shared" ca="1" si="397"/>
        <v>0</v>
      </c>
      <c r="S865" s="307">
        <f t="shared" ca="1" si="398"/>
        <v>6.1519999999999921</v>
      </c>
      <c r="T865" s="304">
        <f t="shared" ca="1" si="378"/>
        <v>60.351119999999923</v>
      </c>
      <c r="U865" s="311">
        <f t="shared" ca="1" si="379"/>
        <v>0</v>
      </c>
      <c r="V865" s="306">
        <f t="shared" ca="1" si="380"/>
        <v>1.2255319063251215</v>
      </c>
      <c r="W865" s="304">
        <f t="shared" ca="1" si="381"/>
        <v>52.201368005427582</v>
      </c>
      <c r="Y865" s="314" t="str">
        <f t="shared" ca="1" si="399"/>
        <v/>
      </c>
      <c r="Z865" s="315" t="str">
        <f t="shared" ca="1" si="400"/>
        <v/>
      </c>
      <c r="AA865" s="316" t="str">
        <f t="shared" ca="1" si="401"/>
        <v/>
      </c>
      <c r="AC865" s="310" t="e">
        <f t="shared" ca="1" si="402"/>
        <v>#N/A</v>
      </c>
      <c r="AD865" s="323" t="e">
        <f t="shared" ca="1" si="403"/>
        <v>#N/A</v>
      </c>
      <c r="AE865" s="324" t="e">
        <f t="shared" ca="1" si="382"/>
        <v>#N/A</v>
      </c>
      <c r="AG865" s="306">
        <f t="shared" ca="1" si="404"/>
        <v>1.3143183834256167</v>
      </c>
      <c r="AH865" s="304">
        <f t="shared" ca="1" si="405"/>
        <v>-8.4852399192405041</v>
      </c>
    </row>
    <row r="866" spans="1:34" x14ac:dyDescent="0.2">
      <c r="A866" s="347">
        <f t="shared" ca="1" si="383"/>
        <v>1E-4</v>
      </c>
      <c r="B866" s="304">
        <f t="shared" ca="1" si="384"/>
        <v>41.408800000000568</v>
      </c>
      <c r="D866" s="306">
        <f t="shared" ca="1" si="385"/>
        <v>-0.39139282097621925</v>
      </c>
      <c r="E866" s="307">
        <f t="shared" ca="1" si="386"/>
        <v>-1.3337636491070235</v>
      </c>
      <c r="F866" s="304">
        <f t="shared" ca="1" si="387"/>
        <v>1.3900049683332092</v>
      </c>
      <c r="G866" s="306">
        <f t="shared" ca="1" si="388"/>
        <v>6.2305070764685082</v>
      </c>
      <c r="H866" s="307">
        <f t="shared" ca="1" si="389"/>
        <v>-134.93255801343525</v>
      </c>
      <c r="I866" s="304">
        <f t="shared" ca="1" si="390"/>
        <v>135.07632816477874</v>
      </c>
      <c r="J866" s="306">
        <f t="shared" ca="1" si="391"/>
        <v>568.62651553779426</v>
      </c>
      <c r="K866" s="307">
        <f t="shared" ca="1" si="392"/>
        <v>-4.3546432153781724</v>
      </c>
      <c r="L866" s="304">
        <f t="shared" ca="1" si="377"/>
        <v>568.64318961030972</v>
      </c>
      <c r="M866" s="306">
        <f t="shared" ca="1" si="393"/>
        <v>-1.5246541299473435</v>
      </c>
      <c r="N866" s="304">
        <f t="shared" ca="1" si="394"/>
        <v>-87.356246863173354</v>
      </c>
      <c r="P866" s="310">
        <f t="shared" ca="1" si="395"/>
        <v>23</v>
      </c>
      <c r="Q866" s="304">
        <f t="shared" ca="1" si="396"/>
        <v>0</v>
      </c>
      <c r="R866" s="306">
        <f t="shared" ca="1" si="397"/>
        <v>0</v>
      </c>
      <c r="S866" s="307">
        <f t="shared" ca="1" si="398"/>
        <v>6.1519999999999921</v>
      </c>
      <c r="T866" s="304">
        <f t="shared" ca="1" si="378"/>
        <v>60.351119999999923</v>
      </c>
      <c r="U866" s="311">
        <f t="shared" ca="1" si="379"/>
        <v>0</v>
      </c>
      <c r="V866" s="306">
        <f t="shared" ca="1" si="380"/>
        <v>1.2255335599670485</v>
      </c>
      <c r="W866" s="304">
        <f t="shared" ca="1" si="381"/>
        <v>52.201540026075811</v>
      </c>
      <c r="Y866" s="314" t="str">
        <f t="shared" ca="1" si="399"/>
        <v/>
      </c>
      <c r="Z866" s="315" t="str">
        <f t="shared" ca="1" si="400"/>
        <v/>
      </c>
      <c r="AA866" s="316" t="str">
        <f t="shared" ca="1" si="401"/>
        <v/>
      </c>
      <c r="AC866" s="310" t="e">
        <f t="shared" ca="1" si="402"/>
        <v>#N/A</v>
      </c>
      <c r="AD866" s="323" t="e">
        <f t="shared" ca="1" si="403"/>
        <v>#N/A</v>
      </c>
      <c r="AE866" s="324" t="e">
        <f t="shared" ca="1" si="382"/>
        <v>#N/A</v>
      </c>
      <c r="AG866" s="306">
        <f t="shared" ca="1" si="404"/>
        <v>1.3142905730055521</v>
      </c>
      <c r="AH866" s="304">
        <f t="shared" ca="1" si="405"/>
        <v>-8.4852678812463669</v>
      </c>
    </row>
    <row r="867" spans="1:34" x14ac:dyDescent="0.2">
      <c r="A867" s="347">
        <f t="shared" ca="1" si="383"/>
        <v>1E-4</v>
      </c>
      <c r="B867" s="304">
        <f t="shared" ca="1" si="384"/>
        <v>41.408900000000571</v>
      </c>
      <c r="D867" s="306">
        <f t="shared" ca="1" si="385"/>
        <v>-0.39139127124618317</v>
      </c>
      <c r="E867" s="307">
        <f t="shared" ca="1" si="386"/>
        <v>-1.3337355860108087</v>
      </c>
      <c r="F867" s="304">
        <f t="shared" ca="1" si="387"/>
        <v>1.3899776043517027</v>
      </c>
      <c r="G867" s="306">
        <f t="shared" ca="1" si="388"/>
        <v>6.2304679373413832</v>
      </c>
      <c r="H867" s="307">
        <f t="shared" ca="1" si="389"/>
        <v>-134.93269138699387</v>
      </c>
      <c r="I867" s="304">
        <f t="shared" ca="1" si="390"/>
        <v>135.07645959106259</v>
      </c>
      <c r="J867" s="306">
        <f t="shared" ca="1" si="391"/>
        <v>568.62651553779426</v>
      </c>
      <c r="K867" s="307">
        <f t="shared" ca="1" si="392"/>
        <v>-4.3681364778481937</v>
      </c>
      <c r="L867" s="304">
        <f t="shared" ca="1" si="377"/>
        <v>568.64329310116943</v>
      </c>
      <c r="M867" s="306">
        <f t="shared" ca="1" si="393"/>
        <v>-1.5246544649386105</v>
      </c>
      <c r="N867" s="304">
        <f t="shared" ca="1" si="394"/>
        <v>-87.356266056759125</v>
      </c>
      <c r="P867" s="310">
        <f t="shared" ca="1" si="395"/>
        <v>23</v>
      </c>
      <c r="Q867" s="304">
        <f t="shared" ca="1" si="396"/>
        <v>0</v>
      </c>
      <c r="R867" s="306">
        <f t="shared" ca="1" si="397"/>
        <v>0</v>
      </c>
      <c r="S867" s="307">
        <f t="shared" ca="1" si="398"/>
        <v>6.1519999999999921</v>
      </c>
      <c r="T867" s="304">
        <f t="shared" ca="1" si="378"/>
        <v>60.351119999999923</v>
      </c>
      <c r="U867" s="311">
        <f t="shared" ca="1" si="379"/>
        <v>0</v>
      </c>
      <c r="V867" s="306">
        <f t="shared" ca="1" si="380"/>
        <v>1.2255352136128419</v>
      </c>
      <c r="W867" s="304">
        <f t="shared" ca="1" si="381"/>
        <v>52.201712045112188</v>
      </c>
      <c r="Y867" s="314" t="str">
        <f t="shared" ca="1" si="399"/>
        <v/>
      </c>
      <c r="Z867" s="315" t="str">
        <f t="shared" ca="1" si="400"/>
        <v/>
      </c>
      <c r="AA867" s="316" t="str">
        <f t="shared" ca="1" si="401"/>
        <v/>
      </c>
      <c r="AC867" s="310" t="e">
        <f t="shared" ca="1" si="402"/>
        <v>#N/A</v>
      </c>
      <c r="AD867" s="323" t="e">
        <f t="shared" ca="1" si="403"/>
        <v>#N/A</v>
      </c>
      <c r="AE867" s="324" t="e">
        <f t="shared" ca="1" si="382"/>
        <v>#N/A</v>
      </c>
      <c r="AG867" s="306">
        <f t="shared" ca="1" si="404"/>
        <v>1.3142627628451411</v>
      </c>
      <c r="AH867" s="304">
        <f t="shared" ca="1" si="405"/>
        <v>-8.4852958429902277</v>
      </c>
    </row>
    <row r="868" spans="1:34" x14ac:dyDescent="0.2">
      <c r="A868" s="347">
        <f t="shared" ca="1" si="383"/>
        <v>1E-4</v>
      </c>
      <c r="B868" s="304">
        <f t="shared" ca="1" si="384"/>
        <v>41.409000000000574</v>
      </c>
      <c r="D868" s="306">
        <f t="shared" ca="1" si="385"/>
        <v>-0.39138972150866846</v>
      </c>
      <c r="E868" s="307">
        <f t="shared" ca="1" si="386"/>
        <v>-1.3337075231774858</v>
      </c>
      <c r="F868" s="304">
        <f t="shared" ca="1" si="387"/>
        <v>1.3899502406499511</v>
      </c>
      <c r="G868" s="306">
        <f t="shared" ca="1" si="388"/>
        <v>6.2304287983692319</v>
      </c>
      <c r="H868" s="307">
        <f t="shared" ca="1" si="389"/>
        <v>-134.93282475774618</v>
      </c>
      <c r="I868" s="304">
        <f t="shared" ca="1" si="390"/>
        <v>135.07659101456545</v>
      </c>
      <c r="J868" s="306">
        <f t="shared" ca="1" si="391"/>
        <v>568.62651553779426</v>
      </c>
      <c r="K868" s="307">
        <f t="shared" ca="1" si="392"/>
        <v>-4.3816297536554307</v>
      </c>
      <c r="L868" s="304">
        <f t="shared" ca="1" si="377"/>
        <v>568.64339691229293</v>
      </c>
      <c r="M868" s="306">
        <f t="shared" ca="1" si="393"/>
        <v>-1.5246547999271212</v>
      </c>
      <c r="N868" s="304">
        <f t="shared" ca="1" si="394"/>
        <v>-87.356285250186971</v>
      </c>
      <c r="P868" s="310">
        <f t="shared" ca="1" si="395"/>
        <v>23</v>
      </c>
      <c r="Q868" s="304">
        <f t="shared" ca="1" si="396"/>
        <v>0</v>
      </c>
      <c r="R868" s="306">
        <f t="shared" ca="1" si="397"/>
        <v>0</v>
      </c>
      <c r="S868" s="307">
        <f t="shared" ca="1" si="398"/>
        <v>6.1519999999999921</v>
      </c>
      <c r="T868" s="304">
        <f t="shared" ca="1" si="378"/>
        <v>60.351119999999923</v>
      </c>
      <c r="U868" s="311">
        <f t="shared" ca="1" si="379"/>
        <v>0</v>
      </c>
      <c r="V868" s="306">
        <f t="shared" ca="1" si="380"/>
        <v>1.2255368672625013</v>
      </c>
      <c r="W868" s="304">
        <f t="shared" ca="1" si="381"/>
        <v>52.20188406253672</v>
      </c>
      <c r="Y868" s="314" t="str">
        <f t="shared" ca="1" si="399"/>
        <v/>
      </c>
      <c r="Z868" s="315" t="str">
        <f t="shared" ca="1" si="400"/>
        <v/>
      </c>
      <c r="AA868" s="316" t="str">
        <f t="shared" ca="1" si="401"/>
        <v/>
      </c>
      <c r="AC868" s="310" t="e">
        <f t="shared" ca="1" si="402"/>
        <v>#N/A</v>
      </c>
      <c r="AD868" s="323" t="e">
        <f t="shared" ca="1" si="403"/>
        <v>#N/A</v>
      </c>
      <c r="AE868" s="324" t="e">
        <f t="shared" ca="1" si="382"/>
        <v>#N/A</v>
      </c>
      <c r="AG868" s="306">
        <f t="shared" ca="1" si="404"/>
        <v>1.3142349529443909</v>
      </c>
      <c r="AH868" s="304">
        <f t="shared" ca="1" si="405"/>
        <v>-8.4853238044720829</v>
      </c>
    </row>
    <row r="869" spans="1:34" x14ac:dyDescent="0.2">
      <c r="A869" s="347">
        <f t="shared" ca="1" si="383"/>
        <v>1E-4</v>
      </c>
      <c r="B869" s="304">
        <f t="shared" ca="1" si="384"/>
        <v>41.409100000000578</v>
      </c>
      <c r="D869" s="306">
        <f t="shared" ca="1" si="385"/>
        <v>-0.39138817176367396</v>
      </c>
      <c r="E869" s="307">
        <f t="shared" ca="1" si="386"/>
        <v>-1.333679460607053</v>
      </c>
      <c r="F869" s="304">
        <f t="shared" ca="1" si="387"/>
        <v>1.3899228772279528</v>
      </c>
      <c r="G869" s="306">
        <f t="shared" ca="1" si="388"/>
        <v>6.2303896595520554</v>
      </c>
      <c r="H869" s="307">
        <f t="shared" ca="1" si="389"/>
        <v>-134.93295812569224</v>
      </c>
      <c r="I869" s="304">
        <f t="shared" ca="1" si="390"/>
        <v>135.07672243528739</v>
      </c>
      <c r="J869" s="306">
        <f t="shared" ca="1" si="391"/>
        <v>568.62651553779426</v>
      </c>
      <c r="K869" s="307">
        <f t="shared" ca="1" si="392"/>
        <v>-4.3951230427996029</v>
      </c>
      <c r="L869" s="304">
        <f t="shared" ca="1" si="377"/>
        <v>568.64350104368089</v>
      </c>
      <c r="M869" s="306">
        <f t="shared" ca="1" si="393"/>
        <v>-1.5246551349128759</v>
      </c>
      <c r="N869" s="304">
        <f t="shared" ca="1" si="394"/>
        <v>-87.356304443456921</v>
      </c>
      <c r="P869" s="310">
        <f t="shared" ca="1" si="395"/>
        <v>23</v>
      </c>
      <c r="Q869" s="304">
        <f t="shared" ca="1" si="396"/>
        <v>0</v>
      </c>
      <c r="R869" s="306">
        <f t="shared" ca="1" si="397"/>
        <v>0</v>
      </c>
      <c r="S869" s="307">
        <f t="shared" ca="1" si="398"/>
        <v>6.1519999999999921</v>
      </c>
      <c r="T869" s="304">
        <f t="shared" ca="1" si="378"/>
        <v>60.351119999999923</v>
      </c>
      <c r="U869" s="311">
        <f t="shared" ca="1" si="379"/>
        <v>0</v>
      </c>
      <c r="V869" s="306">
        <f t="shared" ca="1" si="380"/>
        <v>1.2255385209160274</v>
      </c>
      <c r="W869" s="304">
        <f t="shared" ca="1" si="381"/>
        <v>52.202056078349472</v>
      </c>
      <c r="Y869" s="314" t="str">
        <f t="shared" ca="1" si="399"/>
        <v/>
      </c>
      <c r="Z869" s="315" t="str">
        <f t="shared" ca="1" si="400"/>
        <v/>
      </c>
      <c r="AA869" s="316" t="str">
        <f t="shared" ca="1" si="401"/>
        <v/>
      </c>
      <c r="AC869" s="310" t="e">
        <f t="shared" ca="1" si="402"/>
        <v>#N/A</v>
      </c>
      <c r="AD869" s="323" t="e">
        <f t="shared" ca="1" si="403"/>
        <v>#N/A</v>
      </c>
      <c r="AE869" s="324" t="e">
        <f t="shared" ca="1" si="382"/>
        <v>#N/A</v>
      </c>
      <c r="AG869" s="306">
        <f t="shared" ca="1" si="404"/>
        <v>1.3142071433032942</v>
      </c>
      <c r="AH869" s="304">
        <f t="shared" ca="1" si="405"/>
        <v>-8.4853517656919362</v>
      </c>
    </row>
    <row r="870" spans="1:34" x14ac:dyDescent="0.2">
      <c r="A870" s="347">
        <f t="shared" ca="1" si="383"/>
        <v>1E-4</v>
      </c>
      <c r="B870" s="304">
        <f t="shared" ca="1" si="384"/>
        <v>41.409200000000581</v>
      </c>
      <c r="D870" s="306">
        <f t="shared" ca="1" si="385"/>
        <v>-0.39138662201119861</v>
      </c>
      <c r="E870" s="307">
        <f t="shared" ca="1" si="386"/>
        <v>-1.3336513982995015</v>
      </c>
      <c r="F870" s="304">
        <f t="shared" ca="1" si="387"/>
        <v>1.3898955140857001</v>
      </c>
      <c r="G870" s="306">
        <f t="shared" ca="1" si="388"/>
        <v>6.2303505208898544</v>
      </c>
      <c r="H870" s="307">
        <f t="shared" ca="1" si="389"/>
        <v>-134.93309149083206</v>
      </c>
      <c r="I870" s="304">
        <f t="shared" ca="1" si="390"/>
        <v>135.07685385322833</v>
      </c>
      <c r="J870" s="306">
        <f t="shared" ca="1" si="391"/>
        <v>568.62651553779426</v>
      </c>
      <c r="K870" s="307">
        <f t="shared" ca="1" si="392"/>
        <v>-4.4086163452804294</v>
      </c>
      <c r="L870" s="304">
        <f t="shared" ca="1" si="377"/>
        <v>568.64360549533421</v>
      </c>
      <c r="M870" s="306">
        <f t="shared" ca="1" si="393"/>
        <v>-1.5246554698958741</v>
      </c>
      <c r="N870" s="304">
        <f t="shared" ca="1" si="394"/>
        <v>-87.356323636568931</v>
      </c>
      <c r="P870" s="310">
        <f t="shared" ca="1" si="395"/>
        <v>23</v>
      </c>
      <c r="Q870" s="304">
        <f t="shared" ca="1" si="396"/>
        <v>0</v>
      </c>
      <c r="R870" s="306">
        <f t="shared" ca="1" si="397"/>
        <v>0</v>
      </c>
      <c r="S870" s="307">
        <f t="shared" ca="1" si="398"/>
        <v>6.1519999999999921</v>
      </c>
      <c r="T870" s="304">
        <f t="shared" ca="1" si="378"/>
        <v>60.351119999999923</v>
      </c>
      <c r="U870" s="311">
        <f t="shared" ca="1" si="379"/>
        <v>0</v>
      </c>
      <c r="V870" s="306">
        <f t="shared" ca="1" si="380"/>
        <v>1.2255401745734196</v>
      </c>
      <c r="W870" s="304">
        <f t="shared" ca="1" si="381"/>
        <v>52.202228092550335</v>
      </c>
      <c r="Y870" s="314" t="str">
        <f t="shared" ca="1" si="399"/>
        <v/>
      </c>
      <c r="Z870" s="315" t="str">
        <f t="shared" ca="1" si="400"/>
        <v/>
      </c>
      <c r="AA870" s="316" t="str">
        <f t="shared" ca="1" si="401"/>
        <v/>
      </c>
      <c r="AC870" s="310" t="e">
        <f t="shared" ca="1" si="402"/>
        <v>#N/A</v>
      </c>
      <c r="AD870" s="323" t="e">
        <f t="shared" ca="1" si="403"/>
        <v>#N/A</v>
      </c>
      <c r="AE870" s="324" t="e">
        <f t="shared" ca="1" si="382"/>
        <v>#N/A</v>
      </c>
      <c r="AG870" s="306">
        <f t="shared" ca="1" si="404"/>
        <v>1.3141793339218459</v>
      </c>
      <c r="AH870" s="304">
        <f t="shared" ca="1" si="405"/>
        <v>-8.4853797266497946</v>
      </c>
    </row>
    <row r="871" spans="1:34" x14ac:dyDescent="0.2">
      <c r="A871" s="347">
        <f t="shared" ca="1" si="383"/>
        <v>1E-4</v>
      </c>
      <c r="B871" s="304">
        <f t="shared" ca="1" si="384"/>
        <v>41.409300000000584</v>
      </c>
      <c r="D871" s="306">
        <f t="shared" ca="1" si="385"/>
        <v>-0.39138507225124602</v>
      </c>
      <c r="E871" s="307">
        <f t="shared" ca="1" si="386"/>
        <v>-1.3336233362548455</v>
      </c>
      <c r="F871" s="304">
        <f t="shared" ca="1" si="387"/>
        <v>1.3898681512232078</v>
      </c>
      <c r="G871" s="306">
        <f t="shared" ca="1" si="388"/>
        <v>6.230311382382629</v>
      </c>
      <c r="H871" s="307">
        <f t="shared" ca="1" si="389"/>
        <v>-134.93322485316568</v>
      </c>
      <c r="I871" s="304">
        <f t="shared" ca="1" si="390"/>
        <v>135.0769852683884</v>
      </c>
      <c r="J871" s="306">
        <f t="shared" ca="1" si="391"/>
        <v>568.62651553779426</v>
      </c>
      <c r="K871" s="307">
        <f t="shared" ca="1" si="392"/>
        <v>-4.4221096610976289</v>
      </c>
      <c r="L871" s="304">
        <f t="shared" ca="1" si="377"/>
        <v>568.64371026725348</v>
      </c>
      <c r="M871" s="306">
        <f t="shared" ca="1" si="393"/>
        <v>-1.5246558048761163</v>
      </c>
      <c r="N871" s="304">
        <f t="shared" ca="1" si="394"/>
        <v>-87.35634282952303</v>
      </c>
      <c r="P871" s="310">
        <f t="shared" ca="1" si="395"/>
        <v>23</v>
      </c>
      <c r="Q871" s="304">
        <f t="shared" ca="1" si="396"/>
        <v>0</v>
      </c>
      <c r="R871" s="306">
        <f t="shared" ca="1" si="397"/>
        <v>0</v>
      </c>
      <c r="S871" s="307">
        <f t="shared" ca="1" si="398"/>
        <v>6.1519999999999921</v>
      </c>
      <c r="T871" s="304">
        <f t="shared" ca="1" si="378"/>
        <v>60.351119999999923</v>
      </c>
      <c r="U871" s="311">
        <f t="shared" ca="1" si="379"/>
        <v>0</v>
      </c>
      <c r="V871" s="306">
        <f t="shared" ca="1" si="380"/>
        <v>1.2255418282346779</v>
      </c>
      <c r="W871" s="304">
        <f t="shared" ca="1" si="381"/>
        <v>52.202400105139418</v>
      </c>
      <c r="Y871" s="314" t="str">
        <f t="shared" ca="1" si="399"/>
        <v/>
      </c>
      <c r="Z871" s="315" t="str">
        <f t="shared" ca="1" si="400"/>
        <v/>
      </c>
      <c r="AA871" s="316" t="str">
        <f t="shared" ca="1" si="401"/>
        <v/>
      </c>
      <c r="AC871" s="310" t="e">
        <f t="shared" ca="1" si="402"/>
        <v>#N/A</v>
      </c>
      <c r="AD871" s="323" t="e">
        <f t="shared" ca="1" si="403"/>
        <v>#N/A</v>
      </c>
      <c r="AE871" s="324" t="e">
        <f t="shared" ca="1" si="382"/>
        <v>#N/A</v>
      </c>
      <c r="AG871" s="306">
        <f t="shared" ca="1" si="404"/>
        <v>1.3141515248000601</v>
      </c>
      <c r="AH871" s="304">
        <f t="shared" ca="1" si="405"/>
        <v>-8.4854076873456439</v>
      </c>
    </row>
    <row r="872" spans="1:34" x14ac:dyDescent="0.2">
      <c r="A872" s="347">
        <f t="shared" ca="1" si="383"/>
        <v>1E-4</v>
      </c>
      <c r="B872" s="304">
        <f t="shared" ca="1" si="384"/>
        <v>41.409400000000588</v>
      </c>
      <c r="D872" s="306">
        <f t="shared" ca="1" si="385"/>
        <v>-0.3913835224838137</v>
      </c>
      <c r="E872" s="307">
        <f t="shared" ca="1" si="386"/>
        <v>-1.3335952744730708</v>
      </c>
      <c r="F872" s="304">
        <f t="shared" ca="1" si="387"/>
        <v>1.3898407886404625</v>
      </c>
      <c r="G872" s="306">
        <f t="shared" ca="1" si="388"/>
        <v>6.230272244030381</v>
      </c>
      <c r="H872" s="307">
        <f t="shared" ca="1" si="389"/>
        <v>-134.93335821269312</v>
      </c>
      <c r="I872" s="304">
        <f t="shared" ca="1" si="390"/>
        <v>135.07711668076755</v>
      </c>
      <c r="J872" s="306">
        <f t="shared" ca="1" si="391"/>
        <v>568.62651553779426</v>
      </c>
      <c r="K872" s="307">
        <f t="shared" ca="1" si="392"/>
        <v>-4.4356029902509215</v>
      </c>
      <c r="L872" s="304">
        <f t="shared" ca="1" si="377"/>
        <v>568.6438153594396</v>
      </c>
      <c r="M872" s="306">
        <f t="shared" ca="1" si="393"/>
        <v>-1.5246561398536025</v>
      </c>
      <c r="N872" s="304">
        <f t="shared" ca="1" si="394"/>
        <v>-87.356362022319217</v>
      </c>
      <c r="P872" s="310">
        <f t="shared" ca="1" si="395"/>
        <v>23</v>
      </c>
      <c r="Q872" s="304">
        <f t="shared" ca="1" si="396"/>
        <v>0</v>
      </c>
      <c r="R872" s="306">
        <f t="shared" ca="1" si="397"/>
        <v>0</v>
      </c>
      <c r="S872" s="307">
        <f t="shared" ca="1" si="398"/>
        <v>6.1519999999999921</v>
      </c>
      <c r="T872" s="304">
        <f t="shared" ca="1" si="378"/>
        <v>60.351119999999923</v>
      </c>
      <c r="U872" s="311">
        <f t="shared" ca="1" si="379"/>
        <v>0</v>
      </c>
      <c r="V872" s="306">
        <f t="shared" ca="1" si="380"/>
        <v>1.2255434818998028</v>
      </c>
      <c r="W872" s="304">
        <f t="shared" ca="1" si="381"/>
        <v>52.202572116116684</v>
      </c>
      <c r="Y872" s="314" t="str">
        <f t="shared" ca="1" si="399"/>
        <v/>
      </c>
      <c r="Z872" s="315" t="str">
        <f t="shared" ca="1" si="400"/>
        <v/>
      </c>
      <c r="AA872" s="316" t="str">
        <f t="shared" ca="1" si="401"/>
        <v/>
      </c>
      <c r="AC872" s="310" t="e">
        <f t="shared" ca="1" si="402"/>
        <v>#N/A</v>
      </c>
      <c r="AD872" s="323" t="e">
        <f t="shared" ca="1" si="403"/>
        <v>#N/A</v>
      </c>
      <c r="AE872" s="324" t="e">
        <f t="shared" ca="1" si="382"/>
        <v>#N/A</v>
      </c>
      <c r="AG872" s="306">
        <f t="shared" ca="1" si="404"/>
        <v>1.3141237159379191</v>
      </c>
      <c r="AH872" s="304">
        <f t="shared" ca="1" si="405"/>
        <v>-8.4854356477795001</v>
      </c>
    </row>
    <row r="873" spans="1:34" x14ac:dyDescent="0.2">
      <c r="A873" s="347">
        <f t="shared" ca="1" si="383"/>
        <v>1E-4</v>
      </c>
      <c r="B873" s="304">
        <f t="shared" ca="1" si="384"/>
        <v>41.409500000000591</v>
      </c>
      <c r="D873" s="306">
        <f t="shared" ca="1" si="385"/>
        <v>-0.39138197270890174</v>
      </c>
      <c r="E873" s="307">
        <f t="shared" ca="1" si="386"/>
        <v>-1.3335672129541809</v>
      </c>
      <c r="F873" s="304">
        <f t="shared" ca="1" si="387"/>
        <v>1.3898134263374682</v>
      </c>
      <c r="G873" s="306">
        <f t="shared" ca="1" si="388"/>
        <v>6.2302331058331104</v>
      </c>
      <c r="H873" s="307">
        <f t="shared" ca="1" si="389"/>
        <v>-134.93349156941443</v>
      </c>
      <c r="I873" s="304">
        <f t="shared" ca="1" si="390"/>
        <v>135.07724809036588</v>
      </c>
      <c r="J873" s="306">
        <f t="shared" ca="1" si="391"/>
        <v>568.62651553779426</v>
      </c>
      <c r="K873" s="307">
        <f t="shared" ca="1" si="392"/>
        <v>-4.4490963327400266</v>
      </c>
      <c r="L873" s="304">
        <f t="shared" ca="1" si="377"/>
        <v>568.64392077189336</v>
      </c>
      <c r="M873" s="306">
        <f t="shared" ca="1" si="393"/>
        <v>-1.5246564748283327</v>
      </c>
      <c r="N873" s="304">
        <f t="shared" ca="1" si="394"/>
        <v>-87.356381214957494</v>
      </c>
      <c r="P873" s="310">
        <f t="shared" ca="1" si="395"/>
        <v>23</v>
      </c>
      <c r="Q873" s="304">
        <f t="shared" ca="1" si="396"/>
        <v>0</v>
      </c>
      <c r="R873" s="306">
        <f t="shared" ca="1" si="397"/>
        <v>0</v>
      </c>
      <c r="S873" s="307">
        <f t="shared" ca="1" si="398"/>
        <v>6.1519999999999921</v>
      </c>
      <c r="T873" s="304">
        <f t="shared" ca="1" si="378"/>
        <v>60.351119999999923</v>
      </c>
      <c r="U873" s="311">
        <f t="shared" ca="1" si="379"/>
        <v>0</v>
      </c>
      <c r="V873" s="306">
        <f t="shared" ca="1" si="380"/>
        <v>1.2255451355687939</v>
      </c>
      <c r="W873" s="304">
        <f t="shared" ca="1" si="381"/>
        <v>52.202744125482184</v>
      </c>
      <c r="Y873" s="314" t="str">
        <f t="shared" ca="1" si="399"/>
        <v/>
      </c>
      <c r="Z873" s="315" t="str">
        <f t="shared" ca="1" si="400"/>
        <v/>
      </c>
      <c r="AA873" s="316" t="str">
        <f t="shared" ca="1" si="401"/>
        <v/>
      </c>
      <c r="AC873" s="310" t="e">
        <f t="shared" ca="1" si="402"/>
        <v>#N/A</v>
      </c>
      <c r="AD873" s="323" t="e">
        <f t="shared" ca="1" si="403"/>
        <v>#N/A</v>
      </c>
      <c r="AE873" s="324" t="e">
        <f t="shared" ca="1" si="382"/>
        <v>#N/A</v>
      </c>
      <c r="AG873" s="306">
        <f t="shared" ca="1" si="404"/>
        <v>1.3140959073354317</v>
      </c>
      <c r="AH873" s="304">
        <f t="shared" ca="1" si="405"/>
        <v>-8.4854636079513579</v>
      </c>
    </row>
    <row r="874" spans="1:34" x14ac:dyDescent="0.2">
      <c r="A874" s="347">
        <f t="shared" ca="1" si="383"/>
        <v>1E-4</v>
      </c>
      <c r="B874" s="304">
        <f t="shared" ca="1" si="384"/>
        <v>41.409600000000594</v>
      </c>
      <c r="D874" s="306">
        <f t="shared" ca="1" si="385"/>
        <v>-0.39138042292651115</v>
      </c>
      <c r="E874" s="307">
        <f t="shared" ca="1" si="386"/>
        <v>-1.3335391516981687</v>
      </c>
      <c r="F874" s="304">
        <f t="shared" ca="1" si="387"/>
        <v>1.389786064314219</v>
      </c>
      <c r="G874" s="306">
        <f t="shared" ca="1" si="388"/>
        <v>6.230193967790818</v>
      </c>
      <c r="H874" s="307">
        <f t="shared" ca="1" si="389"/>
        <v>-134.9336249233296</v>
      </c>
      <c r="I874" s="304">
        <f t="shared" ca="1" si="390"/>
        <v>135.07737949718339</v>
      </c>
      <c r="J874" s="306">
        <f t="shared" ca="1" si="391"/>
        <v>568.62651553779426</v>
      </c>
      <c r="K874" s="307">
        <f t="shared" ca="1" si="392"/>
        <v>-4.4625896885646634</v>
      </c>
      <c r="L874" s="304">
        <f t="shared" ca="1" si="377"/>
        <v>568.64402650461545</v>
      </c>
      <c r="M874" s="306">
        <f t="shared" ca="1" si="393"/>
        <v>-1.5246568098003066</v>
      </c>
      <c r="N874" s="304">
        <f t="shared" ca="1" si="394"/>
        <v>-87.35640040743786</v>
      </c>
      <c r="P874" s="310">
        <f t="shared" ca="1" si="395"/>
        <v>23</v>
      </c>
      <c r="Q874" s="304">
        <f t="shared" ca="1" si="396"/>
        <v>0</v>
      </c>
      <c r="R874" s="306">
        <f t="shared" ca="1" si="397"/>
        <v>0</v>
      </c>
      <c r="S874" s="307">
        <f t="shared" ca="1" si="398"/>
        <v>6.1519999999999921</v>
      </c>
      <c r="T874" s="304">
        <f t="shared" ca="1" si="378"/>
        <v>60.351119999999923</v>
      </c>
      <c r="U874" s="311">
        <f t="shared" ca="1" si="379"/>
        <v>0</v>
      </c>
      <c r="V874" s="306">
        <f t="shared" ca="1" si="380"/>
        <v>1.2255467892416512</v>
      </c>
      <c r="W874" s="304">
        <f t="shared" ca="1" si="381"/>
        <v>52.202916133235867</v>
      </c>
      <c r="Y874" s="314" t="str">
        <f t="shared" ca="1" si="399"/>
        <v/>
      </c>
      <c r="Z874" s="315" t="str">
        <f t="shared" ca="1" si="400"/>
        <v/>
      </c>
      <c r="AA874" s="316" t="str">
        <f t="shared" ca="1" si="401"/>
        <v/>
      </c>
      <c r="AC874" s="310" t="e">
        <f t="shared" ca="1" si="402"/>
        <v>#N/A</v>
      </c>
      <c r="AD874" s="323" t="e">
        <f t="shared" ca="1" si="403"/>
        <v>#N/A</v>
      </c>
      <c r="AE874" s="324" t="e">
        <f t="shared" ca="1" si="382"/>
        <v>#N/A</v>
      </c>
      <c r="AG874" s="306">
        <f t="shared" ca="1" si="404"/>
        <v>1.3140680989925873</v>
      </c>
      <c r="AH874" s="304">
        <f t="shared" ca="1" si="405"/>
        <v>-8.4854915678612244</v>
      </c>
    </row>
    <row r="875" spans="1:34" x14ac:dyDescent="0.2">
      <c r="A875" s="347">
        <f t="shared" ca="1" si="383"/>
        <v>1E-4</v>
      </c>
      <c r="B875" s="304">
        <f t="shared" ca="1" si="384"/>
        <v>41.409700000000598</v>
      </c>
      <c r="D875" s="306">
        <f t="shared" ca="1" si="385"/>
        <v>-0.39137887313664382</v>
      </c>
      <c r="E875" s="307">
        <f t="shared" ca="1" si="386"/>
        <v>-1.3335110907050431</v>
      </c>
      <c r="F875" s="304">
        <f t="shared" ca="1" si="387"/>
        <v>1.3897587025707243</v>
      </c>
      <c r="G875" s="306">
        <f t="shared" ca="1" si="388"/>
        <v>6.2301548299035048</v>
      </c>
      <c r="H875" s="307">
        <f t="shared" ca="1" si="389"/>
        <v>-134.93375827443867</v>
      </c>
      <c r="I875" s="304">
        <f t="shared" ca="1" si="390"/>
        <v>135.07751090122002</v>
      </c>
      <c r="J875" s="306">
        <f t="shared" ca="1" si="391"/>
        <v>568.62651553779426</v>
      </c>
      <c r="K875" s="307">
        <f t="shared" ca="1" si="392"/>
        <v>-4.4760830577245523</v>
      </c>
      <c r="L875" s="304">
        <f t="shared" ca="1" si="377"/>
        <v>568.64413255760678</v>
      </c>
      <c r="M875" s="306">
        <f t="shared" ca="1" si="393"/>
        <v>-1.5246571447695247</v>
      </c>
      <c r="N875" s="304">
        <f t="shared" ca="1" si="394"/>
        <v>-87.356419599760329</v>
      </c>
      <c r="P875" s="310">
        <f t="shared" ca="1" si="395"/>
        <v>23</v>
      </c>
      <c r="Q875" s="304">
        <f t="shared" ca="1" si="396"/>
        <v>0</v>
      </c>
      <c r="R875" s="306">
        <f t="shared" ca="1" si="397"/>
        <v>0</v>
      </c>
      <c r="S875" s="307">
        <f t="shared" ca="1" si="398"/>
        <v>6.1519999999999921</v>
      </c>
      <c r="T875" s="304">
        <f t="shared" ca="1" si="378"/>
        <v>60.351119999999923</v>
      </c>
      <c r="U875" s="311">
        <f t="shared" ca="1" si="379"/>
        <v>0</v>
      </c>
      <c r="V875" s="306">
        <f t="shared" ca="1" si="380"/>
        <v>1.2255484429183743</v>
      </c>
      <c r="W875" s="304">
        <f t="shared" ca="1" si="381"/>
        <v>52.203088139377712</v>
      </c>
      <c r="Y875" s="314" t="str">
        <f t="shared" ca="1" si="399"/>
        <v/>
      </c>
      <c r="Z875" s="315" t="str">
        <f t="shared" ca="1" si="400"/>
        <v/>
      </c>
      <c r="AA875" s="316" t="str">
        <f t="shared" ca="1" si="401"/>
        <v/>
      </c>
      <c r="AC875" s="310" t="e">
        <f t="shared" ca="1" si="402"/>
        <v>#N/A</v>
      </c>
      <c r="AD875" s="323" t="e">
        <f t="shared" ca="1" si="403"/>
        <v>#N/A</v>
      </c>
      <c r="AE875" s="324" t="e">
        <f t="shared" ca="1" si="382"/>
        <v>#N/A</v>
      </c>
      <c r="AG875" s="306">
        <f t="shared" ca="1" si="404"/>
        <v>1.3140402909093964</v>
      </c>
      <c r="AH875" s="304">
        <f t="shared" ca="1" si="405"/>
        <v>-8.4855195275090924</v>
      </c>
    </row>
    <row r="876" spans="1:34" x14ac:dyDescent="0.2">
      <c r="A876" s="347">
        <f t="shared" ca="1" si="383"/>
        <v>1E-4</v>
      </c>
      <c r="B876" s="304">
        <f t="shared" ca="1" si="384"/>
        <v>41.409800000000601</v>
      </c>
      <c r="D876" s="306">
        <f t="shared" ca="1" si="385"/>
        <v>-0.39137732333929637</v>
      </c>
      <c r="E876" s="307">
        <f t="shared" ca="1" si="386"/>
        <v>-1.3334830299748077</v>
      </c>
      <c r="F876" s="304">
        <f t="shared" ca="1" si="387"/>
        <v>1.3897313411069876</v>
      </c>
      <c r="G876" s="306">
        <f t="shared" ca="1" si="388"/>
        <v>6.2301156921711707</v>
      </c>
      <c r="H876" s="307">
        <f t="shared" ca="1" si="389"/>
        <v>-134.93389162274167</v>
      </c>
      <c r="I876" s="304">
        <f t="shared" ca="1" si="390"/>
        <v>135.07764230247591</v>
      </c>
      <c r="J876" s="306">
        <f t="shared" ca="1" si="391"/>
        <v>568.62651553779426</v>
      </c>
      <c r="K876" s="307">
        <f t="shared" ca="1" si="392"/>
        <v>-4.4895764402194116</v>
      </c>
      <c r="L876" s="304">
        <f t="shared" ca="1" si="377"/>
        <v>568.64423893086791</v>
      </c>
      <c r="M876" s="306">
        <f t="shared" ca="1" si="393"/>
        <v>-1.5246574797359869</v>
      </c>
      <c r="N876" s="304">
        <f t="shared" ca="1" si="394"/>
        <v>-87.356438791924887</v>
      </c>
      <c r="P876" s="310">
        <f t="shared" ca="1" si="395"/>
        <v>23</v>
      </c>
      <c r="Q876" s="304">
        <f t="shared" ca="1" si="396"/>
        <v>0</v>
      </c>
      <c r="R876" s="306">
        <f t="shared" ca="1" si="397"/>
        <v>0</v>
      </c>
      <c r="S876" s="307">
        <f t="shared" ca="1" si="398"/>
        <v>6.1519999999999921</v>
      </c>
      <c r="T876" s="304">
        <f t="shared" ca="1" si="378"/>
        <v>60.351119999999923</v>
      </c>
      <c r="U876" s="311">
        <f t="shared" ca="1" si="379"/>
        <v>0</v>
      </c>
      <c r="V876" s="306">
        <f t="shared" ca="1" si="380"/>
        <v>1.2255500965989636</v>
      </c>
      <c r="W876" s="304">
        <f t="shared" ca="1" si="381"/>
        <v>52.203260143907798</v>
      </c>
      <c r="Y876" s="314" t="str">
        <f t="shared" ca="1" si="399"/>
        <v/>
      </c>
      <c r="Z876" s="315" t="str">
        <f t="shared" ca="1" si="400"/>
        <v/>
      </c>
      <c r="AA876" s="316" t="str">
        <f t="shared" ca="1" si="401"/>
        <v/>
      </c>
      <c r="AC876" s="310" t="e">
        <f t="shared" ca="1" si="402"/>
        <v>#N/A</v>
      </c>
      <c r="AD876" s="323" t="e">
        <f t="shared" ca="1" si="403"/>
        <v>#N/A</v>
      </c>
      <c r="AE876" s="324" t="e">
        <f t="shared" ca="1" si="382"/>
        <v>#N/A</v>
      </c>
      <c r="AG876" s="306">
        <f t="shared" ca="1" si="404"/>
        <v>1.314012483085861</v>
      </c>
      <c r="AH876" s="304">
        <f t="shared" ca="1" si="405"/>
        <v>-8.4855474868949567</v>
      </c>
    </row>
    <row r="877" spans="1:34" x14ac:dyDescent="0.2">
      <c r="A877" s="347">
        <f t="shared" ca="1" si="383"/>
        <v>1E-4</v>
      </c>
      <c r="B877" s="304">
        <f t="shared" ca="1" si="384"/>
        <v>41.409900000000604</v>
      </c>
      <c r="D877" s="306">
        <f t="shared" ca="1" si="385"/>
        <v>-0.39137577353447184</v>
      </c>
      <c r="E877" s="307">
        <f t="shared" ca="1" si="386"/>
        <v>-1.3334549695074465</v>
      </c>
      <c r="F877" s="304">
        <f t="shared" ca="1" si="387"/>
        <v>1.3897039799229947</v>
      </c>
      <c r="G877" s="306">
        <f t="shared" ca="1" si="388"/>
        <v>6.2300765545938175</v>
      </c>
      <c r="H877" s="307">
        <f t="shared" ca="1" si="389"/>
        <v>-134.93402496823862</v>
      </c>
      <c r="I877" s="304">
        <f t="shared" ca="1" si="390"/>
        <v>135.07777370095104</v>
      </c>
      <c r="J877" s="306">
        <f t="shared" ca="1" si="391"/>
        <v>568.62651553779426</v>
      </c>
      <c r="K877" s="307">
        <f t="shared" ca="1" si="392"/>
        <v>-4.5030698360489607</v>
      </c>
      <c r="L877" s="304">
        <f t="shared" ca="1" si="377"/>
        <v>568.64434562439965</v>
      </c>
      <c r="M877" s="306">
        <f t="shared" ca="1" si="393"/>
        <v>-1.524657814699693</v>
      </c>
      <c r="N877" s="304">
        <f t="shared" ca="1" si="394"/>
        <v>-87.356457983931534</v>
      </c>
      <c r="P877" s="310">
        <f t="shared" ca="1" si="395"/>
        <v>23</v>
      </c>
      <c r="Q877" s="304">
        <f t="shared" ca="1" si="396"/>
        <v>0</v>
      </c>
      <c r="R877" s="306">
        <f t="shared" ca="1" si="397"/>
        <v>0</v>
      </c>
      <c r="S877" s="307">
        <f t="shared" ca="1" si="398"/>
        <v>6.1519999999999921</v>
      </c>
      <c r="T877" s="304">
        <f t="shared" ca="1" si="378"/>
        <v>60.351119999999923</v>
      </c>
      <c r="U877" s="311">
        <f t="shared" ca="1" si="379"/>
        <v>0</v>
      </c>
      <c r="V877" s="306">
        <f t="shared" ca="1" si="380"/>
        <v>1.2255517502834192</v>
      </c>
      <c r="W877" s="304">
        <f t="shared" ca="1" si="381"/>
        <v>52.203432146826117</v>
      </c>
      <c r="Y877" s="314" t="str">
        <f t="shared" ca="1" si="399"/>
        <v/>
      </c>
      <c r="Z877" s="315" t="str">
        <f t="shared" ca="1" si="400"/>
        <v/>
      </c>
      <c r="AA877" s="316" t="str">
        <f t="shared" ca="1" si="401"/>
        <v/>
      </c>
      <c r="AC877" s="310" t="e">
        <f t="shared" ca="1" si="402"/>
        <v>#N/A</v>
      </c>
      <c r="AD877" s="323" t="e">
        <f t="shared" ca="1" si="403"/>
        <v>#N/A</v>
      </c>
      <c r="AE877" s="324" t="e">
        <f t="shared" ca="1" si="382"/>
        <v>#N/A</v>
      </c>
      <c r="AG877" s="306">
        <f t="shared" ca="1" si="404"/>
        <v>1.3139846755219686</v>
      </c>
      <c r="AH877" s="304">
        <f t="shared" ca="1" si="405"/>
        <v>-8.4855754460188333</v>
      </c>
    </row>
    <row r="878" spans="1:34" x14ac:dyDescent="0.2">
      <c r="A878" s="347">
        <f t="shared" ca="1" si="383"/>
        <v>1E-4</v>
      </c>
      <c r="B878" s="304">
        <f t="shared" ca="1" si="384"/>
        <v>41.410000000000608</v>
      </c>
      <c r="D878" s="306">
        <f t="shared" ca="1" si="385"/>
        <v>-0.39137422372217057</v>
      </c>
      <c r="E878" s="307">
        <f t="shared" ca="1" si="386"/>
        <v>-1.3334269093029629</v>
      </c>
      <c r="F878" s="304">
        <f t="shared" ca="1" si="387"/>
        <v>1.3896766190187499</v>
      </c>
      <c r="G878" s="306">
        <f t="shared" ca="1" si="388"/>
        <v>6.2300374171714452</v>
      </c>
      <c r="H878" s="307">
        <f t="shared" ca="1" si="389"/>
        <v>-134.93415831092955</v>
      </c>
      <c r="I878" s="304">
        <f t="shared" ca="1" si="390"/>
        <v>135.07790509664545</v>
      </c>
      <c r="J878" s="306">
        <f t="shared" ca="1" si="391"/>
        <v>568.62651553779426</v>
      </c>
      <c r="K878" s="307">
        <f t="shared" ca="1" si="392"/>
        <v>-4.516563245212919</v>
      </c>
      <c r="L878" s="304">
        <f t="shared" ca="1" si="377"/>
        <v>568.64445263820289</v>
      </c>
      <c r="M878" s="306">
        <f t="shared" ca="1" si="393"/>
        <v>-1.5246581496606431</v>
      </c>
      <c r="N878" s="304">
        <f t="shared" ca="1" si="394"/>
        <v>-87.35647717578027</v>
      </c>
      <c r="P878" s="310">
        <f t="shared" ca="1" si="395"/>
        <v>23</v>
      </c>
      <c r="Q878" s="304">
        <f t="shared" ca="1" si="396"/>
        <v>0</v>
      </c>
      <c r="R878" s="306">
        <f t="shared" ca="1" si="397"/>
        <v>0</v>
      </c>
      <c r="S878" s="307">
        <f t="shared" ca="1" si="398"/>
        <v>6.1519999999999921</v>
      </c>
      <c r="T878" s="304">
        <f t="shared" ca="1" si="378"/>
        <v>60.351119999999923</v>
      </c>
      <c r="U878" s="311">
        <f t="shared" ca="1" si="379"/>
        <v>0</v>
      </c>
      <c r="V878" s="306">
        <f t="shared" ca="1" si="380"/>
        <v>1.2255534039717404</v>
      </c>
      <c r="W878" s="304">
        <f t="shared" ca="1" si="381"/>
        <v>52.203604148132627</v>
      </c>
      <c r="Y878" s="314" t="str">
        <f t="shared" ca="1" si="399"/>
        <v/>
      </c>
      <c r="Z878" s="315" t="str">
        <f t="shared" ca="1" si="400"/>
        <v/>
      </c>
      <c r="AA878" s="316" t="str">
        <f t="shared" ca="1" si="401"/>
        <v/>
      </c>
      <c r="AC878" s="310" t="e">
        <f t="shared" ca="1" si="402"/>
        <v>#N/A</v>
      </c>
      <c r="AD878" s="323" t="e">
        <f t="shared" ca="1" si="403"/>
        <v>#N/A</v>
      </c>
      <c r="AE878" s="324" t="e">
        <f t="shared" ca="1" si="382"/>
        <v>#N/A</v>
      </c>
      <c r="AG878" s="306">
        <f t="shared" ca="1" si="404"/>
        <v>1.3139568682177192</v>
      </c>
      <c r="AH878" s="304">
        <f t="shared" ca="1" si="405"/>
        <v>-8.4856034048807185</v>
      </c>
    </row>
    <row r="879" spans="1:34" x14ac:dyDescent="0.2">
      <c r="A879" s="347">
        <f t="shared" ca="1" si="383"/>
        <v>1E-4</v>
      </c>
      <c r="B879" s="304">
        <f t="shared" ca="1" si="384"/>
        <v>41.410100000000611</v>
      </c>
      <c r="D879" s="306">
        <f t="shared" ca="1" si="385"/>
        <v>-0.39137267390239278</v>
      </c>
      <c r="E879" s="307">
        <f t="shared" ca="1" si="386"/>
        <v>-1.333398849361366</v>
      </c>
      <c r="F879" s="304">
        <f t="shared" ca="1" si="387"/>
        <v>1.3896492583942623</v>
      </c>
      <c r="G879" s="306">
        <f t="shared" ca="1" si="388"/>
        <v>6.2299982799040547</v>
      </c>
      <c r="H879" s="307">
        <f t="shared" ca="1" si="389"/>
        <v>-134.93429165081449</v>
      </c>
      <c r="I879" s="304">
        <f t="shared" ca="1" si="390"/>
        <v>135.07803648955917</v>
      </c>
      <c r="J879" s="306">
        <f t="shared" ca="1" si="391"/>
        <v>568.62651553779426</v>
      </c>
      <c r="K879" s="307">
        <f t="shared" ca="1" si="392"/>
        <v>-4.5300566677110066</v>
      </c>
      <c r="L879" s="304">
        <f t="shared" ca="1" si="377"/>
        <v>568.64455997227833</v>
      </c>
      <c r="M879" s="306">
        <f t="shared" ca="1" si="393"/>
        <v>-1.5246584846188374</v>
      </c>
      <c r="N879" s="304">
        <f t="shared" ca="1" si="394"/>
        <v>-87.356496367471124</v>
      </c>
      <c r="P879" s="310">
        <f t="shared" ca="1" si="395"/>
        <v>23</v>
      </c>
      <c r="Q879" s="304">
        <f t="shared" ca="1" si="396"/>
        <v>0</v>
      </c>
      <c r="R879" s="306">
        <f t="shared" ca="1" si="397"/>
        <v>0</v>
      </c>
      <c r="S879" s="307">
        <f t="shared" ca="1" si="398"/>
        <v>6.1519999999999921</v>
      </c>
      <c r="T879" s="304">
        <f t="shared" ca="1" si="378"/>
        <v>60.351119999999923</v>
      </c>
      <c r="U879" s="311">
        <f t="shared" ca="1" si="379"/>
        <v>0</v>
      </c>
      <c r="V879" s="306">
        <f t="shared" ca="1" si="380"/>
        <v>1.2255550576639282</v>
      </c>
      <c r="W879" s="304">
        <f t="shared" ca="1" si="381"/>
        <v>52.203776147827398</v>
      </c>
      <c r="Y879" s="314" t="str">
        <f t="shared" ca="1" si="399"/>
        <v/>
      </c>
      <c r="Z879" s="315" t="str">
        <f t="shared" ca="1" si="400"/>
        <v/>
      </c>
      <c r="AA879" s="316" t="str">
        <f t="shared" ca="1" si="401"/>
        <v/>
      </c>
      <c r="AC879" s="310" t="e">
        <f t="shared" ca="1" si="402"/>
        <v>#N/A</v>
      </c>
      <c r="AD879" s="323" t="e">
        <f t="shared" ca="1" si="403"/>
        <v>#N/A</v>
      </c>
      <c r="AE879" s="324" t="e">
        <f t="shared" ca="1" si="382"/>
        <v>#N/A</v>
      </c>
      <c r="AG879" s="306">
        <f t="shared" ca="1" si="404"/>
        <v>1.3139290611731216</v>
      </c>
      <c r="AH879" s="304">
        <f t="shared" ca="1" si="405"/>
        <v>-8.4856313634806071</v>
      </c>
    </row>
    <row r="880" spans="1:34" x14ac:dyDescent="0.2">
      <c r="A880" s="347">
        <f t="shared" ca="1" si="383"/>
        <v>1E-4</v>
      </c>
      <c r="B880" s="304">
        <f t="shared" ca="1" si="384"/>
        <v>41.410200000000614</v>
      </c>
      <c r="D880" s="306">
        <f t="shared" ca="1" si="385"/>
        <v>-0.39137112407513763</v>
      </c>
      <c r="E880" s="307">
        <f t="shared" ca="1" si="386"/>
        <v>-1.3333707896826414</v>
      </c>
      <c r="F880" s="304">
        <f t="shared" ca="1" si="387"/>
        <v>1.389621898049519</v>
      </c>
      <c r="G880" s="306">
        <f t="shared" ca="1" si="388"/>
        <v>6.229959142791647</v>
      </c>
      <c r="H880" s="307">
        <f t="shared" ca="1" si="389"/>
        <v>-134.93442498789346</v>
      </c>
      <c r="I880" s="304">
        <f t="shared" ca="1" si="390"/>
        <v>135.07816787969216</v>
      </c>
      <c r="J880" s="306">
        <f t="shared" ca="1" si="391"/>
        <v>568.62651553779426</v>
      </c>
      <c r="K880" s="307">
        <f t="shared" ca="1" si="392"/>
        <v>-4.543550103542942</v>
      </c>
      <c r="L880" s="304">
        <f t="shared" ca="1" si="377"/>
        <v>568.64466762662664</v>
      </c>
      <c r="M880" s="306">
        <f t="shared" ca="1" si="393"/>
        <v>-1.5246588195742758</v>
      </c>
      <c r="N880" s="304">
        <f t="shared" ca="1" si="394"/>
        <v>-87.356515559004066</v>
      </c>
      <c r="P880" s="310">
        <f t="shared" ca="1" si="395"/>
        <v>23</v>
      </c>
      <c r="Q880" s="304">
        <f t="shared" ca="1" si="396"/>
        <v>0</v>
      </c>
      <c r="R880" s="306">
        <f t="shared" ca="1" si="397"/>
        <v>0</v>
      </c>
      <c r="S880" s="307">
        <f t="shared" ca="1" si="398"/>
        <v>6.1519999999999921</v>
      </c>
      <c r="T880" s="304">
        <f t="shared" ca="1" si="378"/>
        <v>60.351119999999923</v>
      </c>
      <c r="U880" s="311">
        <f t="shared" ca="1" si="379"/>
        <v>0</v>
      </c>
      <c r="V880" s="306">
        <f t="shared" ca="1" si="380"/>
        <v>1.2255567113599819</v>
      </c>
      <c r="W880" s="304">
        <f t="shared" ca="1" si="381"/>
        <v>52.203948145910374</v>
      </c>
      <c r="Y880" s="314" t="str">
        <f t="shared" ca="1" si="399"/>
        <v/>
      </c>
      <c r="Z880" s="315" t="str">
        <f t="shared" ca="1" si="400"/>
        <v/>
      </c>
      <c r="AA880" s="316" t="str">
        <f t="shared" ca="1" si="401"/>
        <v/>
      </c>
      <c r="AC880" s="310" t="e">
        <f t="shared" ca="1" si="402"/>
        <v>#N/A</v>
      </c>
      <c r="AD880" s="323" t="e">
        <f t="shared" ca="1" si="403"/>
        <v>#N/A</v>
      </c>
      <c r="AE880" s="324" t="e">
        <f t="shared" ca="1" si="382"/>
        <v>#N/A</v>
      </c>
      <c r="AG880" s="306">
        <f t="shared" ca="1" si="404"/>
        <v>1.3139012543881634</v>
      </c>
      <c r="AH880" s="304">
        <f t="shared" ca="1" si="405"/>
        <v>-8.4856593218185079</v>
      </c>
    </row>
    <row r="881" spans="1:34" x14ac:dyDescent="0.2">
      <c r="A881" s="347">
        <f t="shared" ca="1" si="383"/>
        <v>1E-4</v>
      </c>
      <c r="B881" s="304">
        <f t="shared" ca="1" si="384"/>
        <v>41.410300000000618</v>
      </c>
      <c r="D881" s="306">
        <f t="shared" ca="1" si="385"/>
        <v>-0.39136957424040519</v>
      </c>
      <c r="E881" s="307">
        <f t="shared" ca="1" si="386"/>
        <v>-1.3333427302667964</v>
      </c>
      <c r="F881" s="304">
        <f t="shared" ca="1" si="387"/>
        <v>1.3895945379845269</v>
      </c>
      <c r="G881" s="306">
        <f t="shared" ca="1" si="388"/>
        <v>6.2299200058342228</v>
      </c>
      <c r="H881" s="307">
        <f t="shared" ca="1" si="389"/>
        <v>-134.93455832216648</v>
      </c>
      <c r="I881" s="304">
        <f t="shared" ca="1" si="390"/>
        <v>135.07829926704451</v>
      </c>
      <c r="J881" s="306">
        <f t="shared" ca="1" si="391"/>
        <v>568.62651553779426</v>
      </c>
      <c r="K881" s="307">
        <f t="shared" ca="1" si="392"/>
        <v>-4.5570435527084454</v>
      </c>
      <c r="L881" s="304">
        <f t="shared" ca="1" si="377"/>
        <v>568.64477560124885</v>
      </c>
      <c r="M881" s="306">
        <f t="shared" ca="1" si="393"/>
        <v>-1.5246591545269585</v>
      </c>
      <c r="N881" s="304">
        <f t="shared" ca="1" si="394"/>
        <v>-87.356534750379126</v>
      </c>
      <c r="P881" s="310">
        <f t="shared" ca="1" si="395"/>
        <v>23</v>
      </c>
      <c r="Q881" s="304">
        <f t="shared" ca="1" si="396"/>
        <v>0</v>
      </c>
      <c r="R881" s="306">
        <f t="shared" ca="1" si="397"/>
        <v>0</v>
      </c>
      <c r="S881" s="307">
        <f t="shared" ca="1" si="398"/>
        <v>6.1519999999999921</v>
      </c>
      <c r="T881" s="304">
        <f t="shared" ca="1" si="378"/>
        <v>60.351119999999923</v>
      </c>
      <c r="U881" s="311">
        <f t="shared" ca="1" si="379"/>
        <v>0</v>
      </c>
      <c r="V881" s="306">
        <f t="shared" ca="1" si="380"/>
        <v>1.2255583650599016</v>
      </c>
      <c r="W881" s="304">
        <f t="shared" ca="1" si="381"/>
        <v>52.204120142381583</v>
      </c>
      <c r="Y881" s="314" t="str">
        <f t="shared" ca="1" si="399"/>
        <v/>
      </c>
      <c r="Z881" s="315" t="str">
        <f t="shared" ca="1" si="400"/>
        <v/>
      </c>
      <c r="AA881" s="316" t="str">
        <f t="shared" ca="1" si="401"/>
        <v/>
      </c>
      <c r="AC881" s="310" t="e">
        <f t="shared" ca="1" si="402"/>
        <v>#N/A</v>
      </c>
      <c r="AD881" s="323" t="e">
        <f t="shared" ca="1" si="403"/>
        <v>#N/A</v>
      </c>
      <c r="AE881" s="324" t="e">
        <f t="shared" ca="1" si="382"/>
        <v>#N/A</v>
      </c>
      <c r="AG881" s="306">
        <f t="shared" ca="1" si="404"/>
        <v>1.3138734478628553</v>
      </c>
      <c r="AH881" s="304">
        <f t="shared" ca="1" si="405"/>
        <v>-8.4856872798944156</v>
      </c>
    </row>
    <row r="882" spans="1:34" x14ac:dyDescent="0.2">
      <c r="A882" s="347">
        <f t="shared" ca="1" si="383"/>
        <v>1E-4</v>
      </c>
      <c r="B882" s="304">
        <f t="shared" ca="1" si="384"/>
        <v>41.410400000000621</v>
      </c>
      <c r="D882" s="306">
        <f t="shared" ca="1" si="385"/>
        <v>-0.39136802439819601</v>
      </c>
      <c r="E882" s="307">
        <f t="shared" ca="1" si="386"/>
        <v>-1.3333146711138326</v>
      </c>
      <c r="F882" s="304">
        <f t="shared" ca="1" si="387"/>
        <v>1.3895671781992891</v>
      </c>
      <c r="G882" s="306">
        <f t="shared" ca="1" si="388"/>
        <v>6.2298808690317831</v>
      </c>
      <c r="H882" s="307">
        <f t="shared" ca="1" si="389"/>
        <v>-134.93469165363359</v>
      </c>
      <c r="I882" s="304">
        <f t="shared" ca="1" si="390"/>
        <v>135.07843065161626</v>
      </c>
      <c r="J882" s="306">
        <f t="shared" ca="1" si="391"/>
        <v>568.62651553779426</v>
      </c>
      <c r="K882" s="307">
        <f t="shared" ca="1" si="392"/>
        <v>-4.5705370152072353</v>
      </c>
      <c r="L882" s="304">
        <f t="shared" ca="1" si="377"/>
        <v>568.64488389614542</v>
      </c>
      <c r="M882" s="306">
        <f t="shared" ca="1" si="393"/>
        <v>-1.5246594894768855</v>
      </c>
      <c r="N882" s="304">
        <f t="shared" ca="1" si="394"/>
        <v>-87.356553941596289</v>
      </c>
      <c r="P882" s="310">
        <f t="shared" ca="1" si="395"/>
        <v>23</v>
      </c>
      <c r="Q882" s="304">
        <f t="shared" ca="1" si="396"/>
        <v>0</v>
      </c>
      <c r="R882" s="306">
        <f t="shared" ca="1" si="397"/>
        <v>0</v>
      </c>
      <c r="S882" s="307">
        <f t="shared" ca="1" si="398"/>
        <v>6.1519999999999921</v>
      </c>
      <c r="T882" s="304">
        <f t="shared" ca="1" si="378"/>
        <v>60.351119999999923</v>
      </c>
      <c r="U882" s="311">
        <f t="shared" ca="1" si="379"/>
        <v>0</v>
      </c>
      <c r="V882" s="306">
        <f t="shared" ca="1" si="380"/>
        <v>1.2255600187636873</v>
      </c>
      <c r="W882" s="304">
        <f t="shared" ca="1" si="381"/>
        <v>52.20429213724104</v>
      </c>
      <c r="Y882" s="314" t="str">
        <f t="shared" ca="1" si="399"/>
        <v/>
      </c>
      <c r="Z882" s="315" t="str">
        <f t="shared" ca="1" si="400"/>
        <v/>
      </c>
      <c r="AA882" s="316" t="str">
        <f t="shared" ca="1" si="401"/>
        <v/>
      </c>
      <c r="AC882" s="310" t="e">
        <f t="shared" ca="1" si="402"/>
        <v>#N/A</v>
      </c>
      <c r="AD882" s="323" t="e">
        <f t="shared" ca="1" si="403"/>
        <v>#N/A</v>
      </c>
      <c r="AE882" s="324" t="e">
        <f t="shared" ca="1" si="382"/>
        <v>#N/A</v>
      </c>
      <c r="AG882" s="306">
        <f t="shared" ca="1" si="404"/>
        <v>1.313845641597192</v>
      </c>
      <c r="AH882" s="304">
        <f t="shared" ca="1" si="405"/>
        <v>-8.4857152377083302</v>
      </c>
    </row>
    <row r="883" spans="1:34" x14ac:dyDescent="0.2">
      <c r="A883" s="347">
        <f t="shared" ca="1" si="383"/>
        <v>1E-4</v>
      </c>
      <c r="B883" s="304">
        <f t="shared" ca="1" si="384"/>
        <v>41.410500000000624</v>
      </c>
      <c r="D883" s="306">
        <f t="shared" ca="1" si="385"/>
        <v>-0.39136647454851087</v>
      </c>
      <c r="E883" s="307">
        <f t="shared" ca="1" si="386"/>
        <v>-1.333286612223743</v>
      </c>
      <c r="F883" s="304">
        <f t="shared" ca="1" si="387"/>
        <v>1.3895398186937991</v>
      </c>
      <c r="G883" s="306">
        <f t="shared" ca="1" si="388"/>
        <v>6.2298417323843278</v>
      </c>
      <c r="H883" s="307">
        <f t="shared" ca="1" si="389"/>
        <v>-134.93482498229483</v>
      </c>
      <c r="I883" s="304">
        <f t="shared" ca="1" si="390"/>
        <v>135.07856203340739</v>
      </c>
      <c r="J883" s="306">
        <f t="shared" ca="1" si="391"/>
        <v>568.62651553779426</v>
      </c>
      <c r="K883" s="307">
        <f t="shared" ca="1" si="392"/>
        <v>-4.5840304910390319</v>
      </c>
      <c r="L883" s="304">
        <f t="shared" ca="1" si="377"/>
        <v>568.64499251131735</v>
      </c>
      <c r="M883" s="306">
        <f t="shared" ca="1" si="393"/>
        <v>-1.5246598244240566</v>
      </c>
      <c r="N883" s="304">
        <f t="shared" ca="1" si="394"/>
        <v>-87.356573132655555</v>
      </c>
      <c r="P883" s="310">
        <f t="shared" ca="1" si="395"/>
        <v>23</v>
      </c>
      <c r="Q883" s="304">
        <f t="shared" ca="1" si="396"/>
        <v>0</v>
      </c>
      <c r="R883" s="306">
        <f t="shared" ca="1" si="397"/>
        <v>0</v>
      </c>
      <c r="S883" s="307">
        <f t="shared" ca="1" si="398"/>
        <v>6.1519999999999921</v>
      </c>
      <c r="T883" s="304">
        <f t="shared" ca="1" si="378"/>
        <v>60.351119999999923</v>
      </c>
      <c r="U883" s="311">
        <f t="shared" ca="1" si="379"/>
        <v>0</v>
      </c>
      <c r="V883" s="306">
        <f t="shared" ca="1" si="380"/>
        <v>1.225561672471339</v>
      </c>
      <c r="W883" s="304">
        <f t="shared" ca="1" si="381"/>
        <v>52.204464130488766</v>
      </c>
      <c r="Y883" s="314" t="str">
        <f t="shared" ca="1" si="399"/>
        <v/>
      </c>
      <c r="Z883" s="315" t="str">
        <f t="shared" ca="1" si="400"/>
        <v/>
      </c>
      <c r="AA883" s="316" t="str">
        <f t="shared" ca="1" si="401"/>
        <v/>
      </c>
      <c r="AC883" s="310" t="e">
        <f t="shared" ca="1" si="402"/>
        <v>#N/A</v>
      </c>
      <c r="AD883" s="323" t="e">
        <f t="shared" ca="1" si="403"/>
        <v>#N/A</v>
      </c>
      <c r="AE883" s="324" t="e">
        <f t="shared" ca="1" si="382"/>
        <v>#N/A</v>
      </c>
      <c r="AG883" s="306">
        <f t="shared" ca="1" si="404"/>
        <v>1.3138178355911698</v>
      </c>
      <c r="AH883" s="304">
        <f t="shared" ca="1" si="405"/>
        <v>-8.4857431952602571</v>
      </c>
    </row>
    <row r="884" spans="1:34" x14ac:dyDescent="0.2">
      <c r="A884" s="347">
        <f t="shared" ca="1" si="383"/>
        <v>1E-4</v>
      </c>
      <c r="B884" s="304">
        <f t="shared" ca="1" si="384"/>
        <v>41.410600000000628</v>
      </c>
      <c r="D884" s="306">
        <f t="shared" ca="1" si="385"/>
        <v>-0.39136492469135042</v>
      </c>
      <c r="E884" s="307">
        <f t="shared" ca="1" si="386"/>
        <v>-1.3332585535965258</v>
      </c>
      <c r="F884" s="304">
        <f t="shared" ca="1" si="387"/>
        <v>1.3895124594680561</v>
      </c>
      <c r="G884" s="306">
        <f t="shared" ca="1" si="388"/>
        <v>6.2298025958918588</v>
      </c>
      <c r="H884" s="307">
        <f t="shared" ca="1" si="389"/>
        <v>-134.93495830815019</v>
      </c>
      <c r="I884" s="304">
        <f t="shared" ca="1" si="390"/>
        <v>135.07869341241798</v>
      </c>
      <c r="J884" s="306">
        <f t="shared" ca="1" si="391"/>
        <v>568.62651553779426</v>
      </c>
      <c r="K884" s="307">
        <f t="shared" ca="1" si="392"/>
        <v>-4.5975239802035546</v>
      </c>
      <c r="L884" s="304">
        <f t="shared" ca="1" si="377"/>
        <v>568.64510144676524</v>
      </c>
      <c r="M884" s="306">
        <f t="shared" ca="1" si="393"/>
        <v>-1.5246601593684721</v>
      </c>
      <c r="N884" s="304">
        <f t="shared" ca="1" si="394"/>
        <v>-87.356592323556939</v>
      </c>
      <c r="P884" s="310">
        <f t="shared" ca="1" si="395"/>
        <v>23</v>
      </c>
      <c r="Q884" s="304">
        <f t="shared" ca="1" si="396"/>
        <v>0</v>
      </c>
      <c r="R884" s="306">
        <f t="shared" ca="1" si="397"/>
        <v>0</v>
      </c>
      <c r="S884" s="307">
        <f t="shared" ca="1" si="398"/>
        <v>6.1519999999999921</v>
      </c>
      <c r="T884" s="304">
        <f t="shared" ca="1" si="378"/>
        <v>60.351119999999923</v>
      </c>
      <c r="U884" s="311">
        <f t="shared" ca="1" si="379"/>
        <v>0</v>
      </c>
      <c r="V884" s="306">
        <f t="shared" ca="1" si="380"/>
        <v>1.2255633261828567</v>
      </c>
      <c r="W884" s="304">
        <f t="shared" ca="1" si="381"/>
        <v>52.204636122124761</v>
      </c>
      <c r="Y884" s="314" t="str">
        <f t="shared" ca="1" si="399"/>
        <v/>
      </c>
      <c r="Z884" s="315" t="str">
        <f t="shared" ca="1" si="400"/>
        <v/>
      </c>
      <c r="AA884" s="316" t="str">
        <f t="shared" ca="1" si="401"/>
        <v/>
      </c>
      <c r="AC884" s="310" t="e">
        <f t="shared" ca="1" si="402"/>
        <v>#N/A</v>
      </c>
      <c r="AD884" s="323" t="e">
        <f t="shared" ca="1" si="403"/>
        <v>#N/A</v>
      </c>
      <c r="AE884" s="324" t="e">
        <f t="shared" ca="1" si="382"/>
        <v>#N/A</v>
      </c>
      <c r="AG884" s="306">
        <f t="shared" ca="1" si="404"/>
        <v>1.3137900298447853</v>
      </c>
      <c r="AH884" s="304">
        <f t="shared" ca="1" si="405"/>
        <v>-8.4857711525501998</v>
      </c>
    </row>
    <row r="885" spans="1:34" x14ac:dyDescent="0.2">
      <c r="A885" s="347">
        <f t="shared" ca="1" si="383"/>
        <v>1E-4</v>
      </c>
      <c r="B885" s="304">
        <f t="shared" ca="1" si="384"/>
        <v>41.410700000000631</v>
      </c>
      <c r="D885" s="306">
        <f t="shared" ca="1" si="385"/>
        <v>-0.39136337482671324</v>
      </c>
      <c r="E885" s="307">
        <f t="shared" ca="1" si="386"/>
        <v>-1.3332304952321774</v>
      </c>
      <c r="F885" s="304">
        <f t="shared" ca="1" si="387"/>
        <v>1.3894851005220572</v>
      </c>
      <c r="G885" s="306">
        <f t="shared" ca="1" si="388"/>
        <v>6.229763459554376</v>
      </c>
      <c r="H885" s="307">
        <f t="shared" ca="1" si="389"/>
        <v>-134.9350916311997</v>
      </c>
      <c r="I885" s="304">
        <f t="shared" ca="1" si="390"/>
        <v>135.07882478864798</v>
      </c>
      <c r="J885" s="306">
        <f t="shared" ca="1" si="391"/>
        <v>568.62651553779426</v>
      </c>
      <c r="K885" s="307">
        <f t="shared" ca="1" si="392"/>
        <v>-4.6110174827005217</v>
      </c>
      <c r="L885" s="304">
        <f t="shared" ca="1" si="377"/>
        <v>568.64521070248986</v>
      </c>
      <c r="M885" s="306">
        <f t="shared" ca="1" si="393"/>
        <v>-1.5246604943101318</v>
      </c>
      <c r="N885" s="304">
        <f t="shared" ca="1" si="394"/>
        <v>-87.356611514300425</v>
      </c>
      <c r="P885" s="310">
        <f t="shared" ca="1" si="395"/>
        <v>23</v>
      </c>
      <c r="Q885" s="304">
        <f t="shared" ca="1" si="396"/>
        <v>0</v>
      </c>
      <c r="R885" s="306">
        <f t="shared" ca="1" si="397"/>
        <v>0</v>
      </c>
      <c r="S885" s="307">
        <f t="shared" ca="1" si="398"/>
        <v>6.1519999999999921</v>
      </c>
      <c r="T885" s="304">
        <f t="shared" ca="1" si="378"/>
        <v>60.351119999999923</v>
      </c>
      <c r="U885" s="311">
        <f t="shared" ca="1" si="379"/>
        <v>0</v>
      </c>
      <c r="V885" s="306">
        <f t="shared" ca="1" si="380"/>
        <v>1.2255649798982404</v>
      </c>
      <c r="W885" s="304">
        <f t="shared" ca="1" si="381"/>
        <v>52.204808112148989</v>
      </c>
      <c r="Y885" s="314" t="str">
        <f t="shared" ca="1" si="399"/>
        <v/>
      </c>
      <c r="Z885" s="315" t="str">
        <f t="shared" ca="1" si="400"/>
        <v/>
      </c>
      <c r="AA885" s="316" t="str">
        <f t="shared" ca="1" si="401"/>
        <v/>
      </c>
      <c r="AC885" s="310" t="e">
        <f t="shared" ca="1" si="402"/>
        <v>#N/A</v>
      </c>
      <c r="AD885" s="323" t="e">
        <f t="shared" ca="1" si="403"/>
        <v>#N/A</v>
      </c>
      <c r="AE885" s="324" t="e">
        <f t="shared" ca="1" si="382"/>
        <v>#N/A</v>
      </c>
      <c r="AG885" s="306">
        <f t="shared" ca="1" si="404"/>
        <v>1.3137622243580402</v>
      </c>
      <c r="AH885" s="304">
        <f t="shared" ca="1" si="405"/>
        <v>-8.4857991095781582</v>
      </c>
    </row>
    <row r="886" spans="1:34" x14ac:dyDescent="0.2">
      <c r="A886" s="347">
        <f t="shared" ca="1" si="383"/>
        <v>1E-4</v>
      </c>
      <c r="B886" s="304">
        <f t="shared" ca="1" si="384"/>
        <v>41.410800000000634</v>
      </c>
      <c r="D886" s="306">
        <f t="shared" ca="1" si="385"/>
        <v>-0.39136182495460148</v>
      </c>
      <c r="E886" s="307">
        <f t="shared" ca="1" si="386"/>
        <v>-1.3332024371307103</v>
      </c>
      <c r="F886" s="304">
        <f t="shared" ca="1" si="387"/>
        <v>1.3894577418558154</v>
      </c>
      <c r="G886" s="306">
        <f t="shared" ca="1" si="388"/>
        <v>6.2297243233718804</v>
      </c>
      <c r="H886" s="307">
        <f t="shared" ca="1" si="389"/>
        <v>-134.93522495144342</v>
      </c>
      <c r="I886" s="304">
        <f t="shared" ca="1" si="390"/>
        <v>135.07895616209748</v>
      </c>
      <c r="J886" s="306">
        <f t="shared" ca="1" si="391"/>
        <v>568.62651553779426</v>
      </c>
      <c r="K886" s="307">
        <f t="shared" ca="1" si="392"/>
        <v>-4.6245109985296535</v>
      </c>
      <c r="L886" s="304">
        <f t="shared" ca="1" si="377"/>
        <v>568.64532027849214</v>
      </c>
      <c r="M886" s="306">
        <f t="shared" ca="1" si="393"/>
        <v>-1.524660829249036</v>
      </c>
      <c r="N886" s="304">
        <f t="shared" ca="1" si="394"/>
        <v>-87.35663070488603</v>
      </c>
      <c r="P886" s="310">
        <f t="shared" ca="1" si="395"/>
        <v>23</v>
      </c>
      <c r="Q886" s="304">
        <f t="shared" ca="1" si="396"/>
        <v>0</v>
      </c>
      <c r="R886" s="306">
        <f t="shared" ca="1" si="397"/>
        <v>0</v>
      </c>
      <c r="S886" s="307">
        <f t="shared" ca="1" si="398"/>
        <v>6.1519999999999921</v>
      </c>
      <c r="T886" s="304">
        <f t="shared" ca="1" si="378"/>
        <v>60.351119999999923</v>
      </c>
      <c r="U886" s="311">
        <f t="shared" ca="1" si="379"/>
        <v>0</v>
      </c>
      <c r="V886" s="306">
        <f t="shared" ca="1" si="380"/>
        <v>1.2255666336174895</v>
      </c>
      <c r="W886" s="304">
        <f t="shared" ca="1" si="381"/>
        <v>52.204980100561485</v>
      </c>
      <c r="Y886" s="314" t="str">
        <f t="shared" ca="1" si="399"/>
        <v/>
      </c>
      <c r="Z886" s="315" t="str">
        <f t="shared" ca="1" si="400"/>
        <v/>
      </c>
      <c r="AA886" s="316" t="str">
        <f t="shared" ca="1" si="401"/>
        <v/>
      </c>
      <c r="AC886" s="310" t="e">
        <f t="shared" ca="1" si="402"/>
        <v>#N/A</v>
      </c>
      <c r="AD886" s="323" t="e">
        <f t="shared" ca="1" si="403"/>
        <v>#N/A</v>
      </c>
      <c r="AE886" s="324" t="e">
        <f t="shared" ca="1" si="382"/>
        <v>#N/A</v>
      </c>
      <c r="AG886" s="306">
        <f t="shared" ca="1" si="404"/>
        <v>1.3137344191309381</v>
      </c>
      <c r="AH886" s="304">
        <f t="shared" ca="1" si="405"/>
        <v>-8.4858270663441253</v>
      </c>
    </row>
    <row r="887" spans="1:34" x14ac:dyDescent="0.2">
      <c r="A887" s="347">
        <f t="shared" ca="1" si="383"/>
        <v>1E-4</v>
      </c>
      <c r="B887" s="304">
        <f t="shared" ca="1" si="384"/>
        <v>41.410900000000638</v>
      </c>
      <c r="D887" s="306">
        <f t="shared" ca="1" si="385"/>
        <v>-0.39136027507501386</v>
      </c>
      <c r="E887" s="307">
        <f t="shared" ca="1" si="386"/>
        <v>-1.3331743792921138</v>
      </c>
      <c r="F887" s="304">
        <f t="shared" ca="1" si="387"/>
        <v>1.3894303834693207</v>
      </c>
      <c r="G887" s="306">
        <f t="shared" ca="1" si="388"/>
        <v>6.2296851873443728</v>
      </c>
      <c r="H887" s="307">
        <f t="shared" ca="1" si="389"/>
        <v>-134.93535826888134</v>
      </c>
      <c r="I887" s="304">
        <f t="shared" ca="1" si="390"/>
        <v>135.07908753276647</v>
      </c>
      <c r="J887" s="306">
        <f t="shared" ca="1" si="391"/>
        <v>568.62651553779426</v>
      </c>
      <c r="K887" s="307">
        <f t="shared" ca="1" si="392"/>
        <v>-4.6380045276906694</v>
      </c>
      <c r="L887" s="304">
        <f t="shared" ca="1" si="377"/>
        <v>568.64543017477263</v>
      </c>
      <c r="M887" s="306">
        <f t="shared" ca="1" si="393"/>
        <v>-1.5246611641851844</v>
      </c>
      <c r="N887" s="304">
        <f t="shared" ca="1" si="394"/>
        <v>-87.356649895313737</v>
      </c>
      <c r="P887" s="310">
        <f t="shared" ca="1" si="395"/>
        <v>23</v>
      </c>
      <c r="Q887" s="304">
        <f t="shared" ca="1" si="396"/>
        <v>0</v>
      </c>
      <c r="R887" s="306">
        <f t="shared" ca="1" si="397"/>
        <v>0</v>
      </c>
      <c r="S887" s="307">
        <f t="shared" ca="1" si="398"/>
        <v>6.1519999999999921</v>
      </c>
      <c r="T887" s="304">
        <f t="shared" ca="1" si="378"/>
        <v>60.351119999999923</v>
      </c>
      <c r="U887" s="311">
        <f t="shared" ca="1" si="379"/>
        <v>0</v>
      </c>
      <c r="V887" s="306">
        <f t="shared" ca="1" si="380"/>
        <v>1.2255682873406049</v>
      </c>
      <c r="W887" s="304">
        <f t="shared" ca="1" si="381"/>
        <v>52.205152087362244</v>
      </c>
      <c r="Y887" s="314" t="str">
        <f t="shared" ca="1" si="399"/>
        <v/>
      </c>
      <c r="Z887" s="315" t="str">
        <f t="shared" ca="1" si="400"/>
        <v/>
      </c>
      <c r="AA887" s="316" t="str">
        <f t="shared" ca="1" si="401"/>
        <v/>
      </c>
      <c r="AC887" s="310" t="e">
        <f t="shared" ca="1" si="402"/>
        <v>#N/A</v>
      </c>
      <c r="AD887" s="323" t="e">
        <f t="shared" ca="1" si="403"/>
        <v>#N/A</v>
      </c>
      <c r="AE887" s="324" t="e">
        <f t="shared" ca="1" si="382"/>
        <v>#N/A</v>
      </c>
      <c r="AG887" s="306">
        <f t="shared" ca="1" si="404"/>
        <v>1.313706614163479</v>
      </c>
      <c r="AH887" s="304">
        <f t="shared" ca="1" si="405"/>
        <v>-8.4858550228481064</v>
      </c>
    </row>
    <row r="888" spans="1:34" x14ac:dyDescent="0.2">
      <c r="A888" s="347">
        <f t="shared" ca="1" si="383"/>
        <v>1E-4</v>
      </c>
      <c r="B888" s="304">
        <f t="shared" ca="1" si="384"/>
        <v>41.411000000000641</v>
      </c>
      <c r="D888" s="306">
        <f t="shared" ca="1" si="385"/>
        <v>-0.39135872518795278</v>
      </c>
      <c r="E888" s="307">
        <f t="shared" ca="1" si="386"/>
        <v>-1.3331463217163915</v>
      </c>
      <c r="F888" s="304">
        <f t="shared" ca="1" si="387"/>
        <v>1.3894030253625778</v>
      </c>
      <c r="G888" s="306">
        <f t="shared" ca="1" si="388"/>
        <v>6.2296460514718541</v>
      </c>
      <c r="H888" s="307">
        <f t="shared" ca="1" si="389"/>
        <v>-134.93549158351351</v>
      </c>
      <c r="I888" s="304">
        <f t="shared" ca="1" si="390"/>
        <v>135.07921890065498</v>
      </c>
      <c r="J888" s="306">
        <f t="shared" ca="1" si="391"/>
        <v>568.62651553779426</v>
      </c>
      <c r="K888" s="307">
        <f t="shared" ca="1" si="392"/>
        <v>-4.6514980701832895</v>
      </c>
      <c r="L888" s="304">
        <f t="shared" ca="1" si="377"/>
        <v>568.64554039133225</v>
      </c>
      <c r="M888" s="306">
        <f t="shared" ca="1" si="393"/>
        <v>-1.5246614991185772</v>
      </c>
      <c r="N888" s="304">
        <f t="shared" ca="1" si="394"/>
        <v>-87.356669085583562</v>
      </c>
      <c r="P888" s="310">
        <f t="shared" ca="1" si="395"/>
        <v>23</v>
      </c>
      <c r="Q888" s="304">
        <f t="shared" ca="1" si="396"/>
        <v>0</v>
      </c>
      <c r="R888" s="306">
        <f t="shared" ca="1" si="397"/>
        <v>0</v>
      </c>
      <c r="S888" s="307">
        <f t="shared" ca="1" si="398"/>
        <v>6.1519999999999921</v>
      </c>
      <c r="T888" s="304">
        <f t="shared" ca="1" si="378"/>
        <v>60.351119999999923</v>
      </c>
      <c r="U888" s="311">
        <f t="shared" ca="1" si="379"/>
        <v>0</v>
      </c>
      <c r="V888" s="306">
        <f t="shared" ca="1" si="380"/>
        <v>1.2255699410675864</v>
      </c>
      <c r="W888" s="304">
        <f t="shared" ca="1" si="381"/>
        <v>52.205324072551313</v>
      </c>
      <c r="Y888" s="314" t="str">
        <f t="shared" ca="1" si="399"/>
        <v/>
      </c>
      <c r="Z888" s="315" t="str">
        <f t="shared" ca="1" si="400"/>
        <v/>
      </c>
      <c r="AA888" s="316" t="str">
        <f t="shared" ca="1" si="401"/>
        <v/>
      </c>
      <c r="AC888" s="310" t="e">
        <f t="shared" ca="1" si="402"/>
        <v>#N/A</v>
      </c>
      <c r="AD888" s="323" t="e">
        <f t="shared" ca="1" si="403"/>
        <v>#N/A</v>
      </c>
      <c r="AE888" s="324" t="e">
        <f t="shared" ca="1" si="382"/>
        <v>#N/A</v>
      </c>
      <c r="AG888" s="306">
        <f t="shared" ca="1" si="404"/>
        <v>1.3136788094556575</v>
      </c>
      <c r="AH888" s="304">
        <f t="shared" ca="1" si="405"/>
        <v>-8.4858829790901016</v>
      </c>
    </row>
    <row r="889" spans="1:34" x14ac:dyDescent="0.2">
      <c r="A889" s="347">
        <f t="shared" ca="1" si="383"/>
        <v>1E-4</v>
      </c>
      <c r="B889" s="304">
        <f t="shared" ca="1" si="384"/>
        <v>41.411100000000644</v>
      </c>
      <c r="D889" s="306">
        <f t="shared" ca="1" si="385"/>
        <v>-0.3913571752934174</v>
      </c>
      <c r="E889" s="307">
        <f t="shared" ca="1" si="386"/>
        <v>-1.3331182644035326</v>
      </c>
      <c r="F889" s="304">
        <f t="shared" ca="1" si="387"/>
        <v>1.3893756675355768</v>
      </c>
      <c r="G889" s="306">
        <f t="shared" ca="1" si="388"/>
        <v>6.2296069157543243</v>
      </c>
      <c r="H889" s="307">
        <f t="shared" ca="1" si="389"/>
        <v>-134.93562489533994</v>
      </c>
      <c r="I889" s="304">
        <f t="shared" ca="1" si="390"/>
        <v>135.07935026576305</v>
      </c>
      <c r="J889" s="306">
        <f t="shared" ca="1" si="391"/>
        <v>568.62651553779426</v>
      </c>
      <c r="K889" s="307">
        <f t="shared" ca="1" si="392"/>
        <v>-4.6649916260072324</v>
      </c>
      <c r="L889" s="304">
        <f t="shared" ca="1" si="377"/>
        <v>568.64565092817168</v>
      </c>
      <c r="M889" s="306">
        <f t="shared" ca="1" si="393"/>
        <v>-1.5246618340492146</v>
      </c>
      <c r="N889" s="304">
        <f t="shared" ca="1" si="394"/>
        <v>-87.356688275695518</v>
      </c>
      <c r="P889" s="310">
        <f t="shared" ca="1" si="395"/>
        <v>23</v>
      </c>
      <c r="Q889" s="304">
        <f t="shared" ca="1" si="396"/>
        <v>0</v>
      </c>
      <c r="R889" s="306">
        <f t="shared" ca="1" si="397"/>
        <v>0</v>
      </c>
      <c r="S889" s="307">
        <f t="shared" ca="1" si="398"/>
        <v>6.1519999999999921</v>
      </c>
      <c r="T889" s="304">
        <f t="shared" ca="1" si="378"/>
        <v>60.351119999999923</v>
      </c>
      <c r="U889" s="311">
        <f t="shared" ca="1" si="379"/>
        <v>0</v>
      </c>
      <c r="V889" s="306">
        <f t="shared" ca="1" si="380"/>
        <v>1.2255715947984334</v>
      </c>
      <c r="W889" s="304">
        <f t="shared" ca="1" si="381"/>
        <v>52.205496056128624</v>
      </c>
      <c r="Y889" s="314" t="str">
        <f t="shared" ca="1" si="399"/>
        <v/>
      </c>
      <c r="Z889" s="315" t="str">
        <f t="shared" ca="1" si="400"/>
        <v/>
      </c>
      <c r="AA889" s="316" t="str">
        <f t="shared" ca="1" si="401"/>
        <v/>
      </c>
      <c r="AC889" s="310" t="e">
        <f t="shared" ca="1" si="402"/>
        <v>#N/A</v>
      </c>
      <c r="AD889" s="323" t="e">
        <f t="shared" ca="1" si="403"/>
        <v>#N/A</v>
      </c>
      <c r="AE889" s="324" t="e">
        <f t="shared" ca="1" si="382"/>
        <v>#N/A</v>
      </c>
      <c r="AG889" s="306">
        <f t="shared" ca="1" si="404"/>
        <v>1.3136510050074666</v>
      </c>
      <c r="AH889" s="304">
        <f t="shared" ca="1" si="405"/>
        <v>-8.4859109350701196</v>
      </c>
    </row>
    <row r="890" spans="1:34" x14ac:dyDescent="0.2">
      <c r="A890" s="347">
        <f t="shared" ca="1" si="383"/>
        <v>1E-4</v>
      </c>
      <c r="B890" s="304">
        <f t="shared" ca="1" si="384"/>
        <v>41.411200000000647</v>
      </c>
      <c r="D890" s="306">
        <f t="shared" ca="1" si="385"/>
        <v>-0.39135562539140561</v>
      </c>
      <c r="E890" s="307">
        <f t="shared" ca="1" si="386"/>
        <v>-1.3330902073535498</v>
      </c>
      <c r="F890" s="304">
        <f t="shared" ca="1" si="387"/>
        <v>1.3893483099883299</v>
      </c>
      <c r="G890" s="306">
        <f t="shared" ca="1" si="388"/>
        <v>6.2295677801917853</v>
      </c>
      <c r="H890" s="307">
        <f t="shared" ca="1" si="389"/>
        <v>-134.93575820436067</v>
      </c>
      <c r="I890" s="304">
        <f t="shared" ca="1" si="390"/>
        <v>135.07948162809069</v>
      </c>
      <c r="J890" s="306">
        <f t="shared" ca="1" si="391"/>
        <v>568.62651553779426</v>
      </c>
      <c r="K890" s="307">
        <f t="shared" ca="1" si="392"/>
        <v>-4.6784851951622173</v>
      </c>
      <c r="L890" s="304">
        <f t="shared" ca="1" si="377"/>
        <v>568.64576178529171</v>
      </c>
      <c r="M890" s="306">
        <f t="shared" ca="1" si="393"/>
        <v>-1.5246621689770965</v>
      </c>
      <c r="N890" s="304">
        <f t="shared" ca="1" si="394"/>
        <v>-87.356707465649578</v>
      </c>
      <c r="P890" s="310">
        <f t="shared" ca="1" si="395"/>
        <v>23</v>
      </c>
      <c r="Q890" s="304">
        <f t="shared" ca="1" si="396"/>
        <v>0</v>
      </c>
      <c r="R890" s="306">
        <f t="shared" ca="1" si="397"/>
        <v>0</v>
      </c>
      <c r="S890" s="307">
        <f t="shared" ca="1" si="398"/>
        <v>6.1519999999999921</v>
      </c>
      <c r="T890" s="304">
        <f t="shared" ca="1" si="378"/>
        <v>60.351119999999923</v>
      </c>
      <c r="U890" s="311">
        <f t="shared" ca="1" si="379"/>
        <v>0</v>
      </c>
      <c r="V890" s="306">
        <f t="shared" ca="1" si="380"/>
        <v>1.2255732485331463</v>
      </c>
      <c r="W890" s="304">
        <f t="shared" ca="1" si="381"/>
        <v>52.205668038094238</v>
      </c>
      <c r="Y890" s="314" t="str">
        <f t="shared" ca="1" si="399"/>
        <v/>
      </c>
      <c r="Z890" s="315" t="str">
        <f t="shared" ca="1" si="400"/>
        <v/>
      </c>
      <c r="AA890" s="316" t="str">
        <f t="shared" ca="1" si="401"/>
        <v/>
      </c>
      <c r="AC890" s="310" t="e">
        <f t="shared" ca="1" si="402"/>
        <v>#N/A</v>
      </c>
      <c r="AD890" s="323" t="e">
        <f t="shared" ca="1" si="403"/>
        <v>#N/A</v>
      </c>
      <c r="AE890" s="324" t="e">
        <f t="shared" ca="1" si="382"/>
        <v>#N/A</v>
      </c>
      <c r="AG890" s="306">
        <f t="shared" ca="1" si="404"/>
        <v>1.3136232008189204</v>
      </c>
      <c r="AH890" s="304">
        <f t="shared" ca="1" si="405"/>
        <v>-8.4859388907881481</v>
      </c>
    </row>
    <row r="891" spans="1:34" x14ac:dyDescent="0.2">
      <c r="A891" s="347">
        <f t="shared" ca="1" si="383"/>
        <v>1E-4</v>
      </c>
      <c r="B891" s="304">
        <f t="shared" ca="1" si="384"/>
        <v>41.411300000000651</v>
      </c>
      <c r="D891" s="306">
        <f t="shared" ca="1" si="385"/>
        <v>-0.3913540754819203</v>
      </c>
      <c r="E891" s="307">
        <f t="shared" ca="1" si="386"/>
        <v>-1.333062150566434</v>
      </c>
      <c r="F891" s="304">
        <f t="shared" ca="1" si="387"/>
        <v>1.3893209527208299</v>
      </c>
      <c r="G891" s="306">
        <f t="shared" ca="1" si="388"/>
        <v>6.2295286447842368</v>
      </c>
      <c r="H891" s="307">
        <f t="shared" ca="1" si="389"/>
        <v>-134.93589151057571</v>
      </c>
      <c r="I891" s="304">
        <f t="shared" ca="1" si="390"/>
        <v>135.07961298763794</v>
      </c>
      <c r="J891" s="306">
        <f t="shared" ca="1" si="391"/>
        <v>568.62651553779426</v>
      </c>
      <c r="K891" s="307">
        <f t="shared" ca="1" si="392"/>
        <v>-4.6919787776479644</v>
      </c>
      <c r="L891" s="304">
        <f t="shared" ca="1" si="377"/>
        <v>568.64587296269303</v>
      </c>
      <c r="M891" s="306">
        <f t="shared" ca="1" si="393"/>
        <v>-1.5246625039022228</v>
      </c>
      <c r="N891" s="304">
        <f t="shared" ca="1" si="394"/>
        <v>-87.356726655445769</v>
      </c>
      <c r="P891" s="310">
        <f t="shared" ca="1" si="395"/>
        <v>23</v>
      </c>
      <c r="Q891" s="304">
        <f t="shared" ca="1" si="396"/>
        <v>0</v>
      </c>
      <c r="R891" s="306">
        <f t="shared" ca="1" si="397"/>
        <v>0</v>
      </c>
      <c r="S891" s="307">
        <f t="shared" ca="1" si="398"/>
        <v>6.1519999999999921</v>
      </c>
      <c r="T891" s="304">
        <f t="shared" ca="1" si="378"/>
        <v>60.351119999999923</v>
      </c>
      <c r="U891" s="311">
        <f t="shared" ca="1" si="379"/>
        <v>0</v>
      </c>
      <c r="V891" s="306">
        <f t="shared" ca="1" si="380"/>
        <v>1.2255749022717251</v>
      </c>
      <c r="W891" s="304">
        <f t="shared" ca="1" si="381"/>
        <v>52.205840018448143</v>
      </c>
      <c r="Y891" s="314" t="str">
        <f t="shared" ca="1" si="399"/>
        <v/>
      </c>
      <c r="Z891" s="315" t="str">
        <f t="shared" ca="1" si="400"/>
        <v/>
      </c>
      <c r="AA891" s="316" t="str">
        <f t="shared" ca="1" si="401"/>
        <v/>
      </c>
      <c r="AC891" s="310" t="e">
        <f t="shared" ca="1" si="402"/>
        <v>#N/A</v>
      </c>
      <c r="AD891" s="323" t="e">
        <f t="shared" ca="1" si="403"/>
        <v>#N/A</v>
      </c>
      <c r="AE891" s="324" t="e">
        <f t="shared" ca="1" si="382"/>
        <v>#N/A</v>
      </c>
      <c r="AG891" s="306">
        <f t="shared" ca="1" si="404"/>
        <v>1.3135953968900083</v>
      </c>
      <c r="AH891" s="304">
        <f t="shared" ca="1" si="405"/>
        <v>-8.4859668462441977</v>
      </c>
    </row>
    <row r="892" spans="1:34" x14ac:dyDescent="0.2">
      <c r="A892" s="347">
        <f t="shared" ca="1" si="383"/>
        <v>1E-4</v>
      </c>
      <c r="B892" s="304">
        <f t="shared" ca="1" si="384"/>
        <v>41.411400000000654</v>
      </c>
      <c r="D892" s="306">
        <f t="shared" ca="1" si="385"/>
        <v>-0.39135252556496186</v>
      </c>
      <c r="E892" s="307">
        <f t="shared" ca="1" si="386"/>
        <v>-1.333034094042187</v>
      </c>
      <c r="F892" s="304">
        <f t="shared" ca="1" si="387"/>
        <v>1.3892935957330792</v>
      </c>
      <c r="G892" s="306">
        <f t="shared" ca="1" si="388"/>
        <v>6.22948950953168</v>
      </c>
      <c r="H892" s="307">
        <f t="shared" ca="1" si="389"/>
        <v>-134.93602481398511</v>
      </c>
      <c r="I892" s="304">
        <f t="shared" ca="1" si="390"/>
        <v>135.07974434440484</v>
      </c>
      <c r="J892" s="306">
        <f t="shared" ca="1" si="391"/>
        <v>568.62651553779426</v>
      </c>
      <c r="K892" s="307">
        <f t="shared" ca="1" si="392"/>
        <v>-4.7054723734641923</v>
      </c>
      <c r="L892" s="304">
        <f t="shared" ca="1" si="377"/>
        <v>568.64598446037655</v>
      </c>
      <c r="M892" s="306">
        <f t="shared" ca="1" si="393"/>
        <v>-1.5246628388245935</v>
      </c>
      <c r="N892" s="304">
        <f t="shared" ca="1" si="394"/>
        <v>-87.356745845084077</v>
      </c>
      <c r="P892" s="310">
        <f t="shared" ca="1" si="395"/>
        <v>23</v>
      </c>
      <c r="Q892" s="304">
        <f t="shared" ca="1" si="396"/>
        <v>0</v>
      </c>
      <c r="R892" s="306">
        <f t="shared" ca="1" si="397"/>
        <v>0</v>
      </c>
      <c r="S892" s="307">
        <f t="shared" ca="1" si="398"/>
        <v>6.1519999999999921</v>
      </c>
      <c r="T892" s="304">
        <f t="shared" ca="1" si="378"/>
        <v>60.351119999999923</v>
      </c>
      <c r="U892" s="311">
        <f t="shared" ca="1" si="379"/>
        <v>0</v>
      </c>
      <c r="V892" s="306">
        <f t="shared" ca="1" si="380"/>
        <v>1.2255765560141694</v>
      </c>
      <c r="W892" s="304">
        <f t="shared" ca="1" si="381"/>
        <v>52.206011997190352</v>
      </c>
      <c r="Y892" s="314" t="str">
        <f t="shared" ca="1" si="399"/>
        <v/>
      </c>
      <c r="Z892" s="315" t="str">
        <f t="shared" ca="1" si="400"/>
        <v/>
      </c>
      <c r="AA892" s="316" t="str">
        <f t="shared" ca="1" si="401"/>
        <v/>
      </c>
      <c r="AC892" s="310" t="e">
        <f t="shared" ca="1" si="402"/>
        <v>#N/A</v>
      </c>
      <c r="AD892" s="323" t="e">
        <f t="shared" ca="1" si="403"/>
        <v>#N/A</v>
      </c>
      <c r="AE892" s="324" t="e">
        <f t="shared" ca="1" si="382"/>
        <v>#N/A</v>
      </c>
      <c r="AG892" s="306">
        <f t="shared" ca="1" si="404"/>
        <v>1.313567593220732</v>
      </c>
      <c r="AH892" s="304">
        <f t="shared" ca="1" si="405"/>
        <v>-8.4859948014382649</v>
      </c>
    </row>
    <row r="893" spans="1:34" x14ac:dyDescent="0.2">
      <c r="A893" s="347">
        <f t="shared" ca="1" si="383"/>
        <v>1E-4</v>
      </c>
      <c r="B893" s="304">
        <f t="shared" ca="1" si="384"/>
        <v>41.411500000000657</v>
      </c>
      <c r="D893" s="306">
        <f t="shared" ca="1" si="385"/>
        <v>-0.39135097564053101</v>
      </c>
      <c r="E893" s="307">
        <f t="shared" ca="1" si="386"/>
        <v>-1.3330060377808035</v>
      </c>
      <c r="F893" s="304">
        <f t="shared" ca="1" si="387"/>
        <v>1.3892662390250734</v>
      </c>
      <c r="G893" s="306">
        <f t="shared" ca="1" si="388"/>
        <v>6.2294503744341156</v>
      </c>
      <c r="H893" s="307">
        <f t="shared" ca="1" si="389"/>
        <v>-134.93615811458889</v>
      </c>
      <c r="I893" s="304">
        <f t="shared" ca="1" si="390"/>
        <v>135.07987569839139</v>
      </c>
      <c r="J893" s="306">
        <f t="shared" ca="1" si="391"/>
        <v>568.62651553779426</v>
      </c>
      <c r="K893" s="307">
        <f t="shared" ca="1" si="392"/>
        <v>-4.7189659826106212</v>
      </c>
      <c r="L893" s="304">
        <f t="shared" ca="1" si="377"/>
        <v>568.64609627834284</v>
      </c>
      <c r="M893" s="306">
        <f t="shared" ca="1" si="393"/>
        <v>-1.5246631737442091</v>
      </c>
      <c r="N893" s="304">
        <f t="shared" ca="1" si="394"/>
        <v>-87.356765034564532</v>
      </c>
      <c r="P893" s="310">
        <f t="shared" ca="1" si="395"/>
        <v>23</v>
      </c>
      <c r="Q893" s="304">
        <f t="shared" ca="1" si="396"/>
        <v>0</v>
      </c>
      <c r="R893" s="306">
        <f t="shared" ca="1" si="397"/>
        <v>0</v>
      </c>
      <c r="S893" s="307">
        <f t="shared" ca="1" si="398"/>
        <v>6.1519999999999921</v>
      </c>
      <c r="T893" s="304">
        <f t="shared" ca="1" si="378"/>
        <v>60.351119999999923</v>
      </c>
      <c r="U893" s="311">
        <f t="shared" ca="1" si="379"/>
        <v>0</v>
      </c>
      <c r="V893" s="306">
        <f t="shared" ca="1" si="380"/>
        <v>1.2255782097604793</v>
      </c>
      <c r="W893" s="304">
        <f t="shared" ca="1" si="381"/>
        <v>52.206183974320844</v>
      </c>
      <c r="Y893" s="314" t="str">
        <f t="shared" ca="1" si="399"/>
        <v/>
      </c>
      <c r="Z893" s="315" t="str">
        <f t="shared" ca="1" si="400"/>
        <v/>
      </c>
      <c r="AA893" s="316" t="str">
        <f t="shared" ca="1" si="401"/>
        <v/>
      </c>
      <c r="AC893" s="310" t="e">
        <f t="shared" ca="1" si="402"/>
        <v>#N/A</v>
      </c>
      <c r="AD893" s="323" t="e">
        <f t="shared" ca="1" si="403"/>
        <v>#N/A</v>
      </c>
      <c r="AE893" s="324" t="e">
        <f t="shared" ca="1" si="382"/>
        <v>#N/A</v>
      </c>
      <c r="AG893" s="306">
        <f t="shared" ca="1" si="404"/>
        <v>1.3135397898110863</v>
      </c>
      <c r="AH893" s="304">
        <f t="shared" ca="1" si="405"/>
        <v>-8.486022756370355</v>
      </c>
    </row>
    <row r="894" spans="1:34" x14ac:dyDescent="0.2">
      <c r="A894" s="347">
        <f t="shared" ca="1" si="383"/>
        <v>1E-4</v>
      </c>
      <c r="B894" s="304">
        <f t="shared" ca="1" si="384"/>
        <v>41.411600000000661</v>
      </c>
      <c r="D894" s="306">
        <f t="shared" ca="1" si="385"/>
        <v>-0.39134942570862413</v>
      </c>
      <c r="E894" s="307">
        <f t="shared" ca="1" si="386"/>
        <v>-1.3329779817822907</v>
      </c>
      <c r="F894" s="304">
        <f t="shared" ca="1" si="387"/>
        <v>1.3892388825968192</v>
      </c>
      <c r="G894" s="306">
        <f t="shared" ca="1" si="388"/>
        <v>6.2294112394915446</v>
      </c>
      <c r="H894" s="307">
        <f t="shared" ca="1" si="389"/>
        <v>-134.93629141238708</v>
      </c>
      <c r="I894" s="304">
        <f t="shared" ca="1" si="390"/>
        <v>135.08000704959764</v>
      </c>
      <c r="J894" s="306">
        <f t="shared" ca="1" si="391"/>
        <v>568.62651553779426</v>
      </c>
      <c r="K894" s="307">
        <f t="shared" ca="1" si="392"/>
        <v>-4.7324596050869703</v>
      </c>
      <c r="L894" s="304">
        <f t="shared" ca="1" si="377"/>
        <v>568.6462084165928</v>
      </c>
      <c r="M894" s="306">
        <f t="shared" ca="1" si="393"/>
        <v>-1.5246635086610691</v>
      </c>
      <c r="N894" s="304">
        <f t="shared" ca="1" si="394"/>
        <v>-87.356784223887104</v>
      </c>
      <c r="P894" s="310">
        <f t="shared" ca="1" si="395"/>
        <v>23</v>
      </c>
      <c r="Q894" s="304">
        <f t="shared" ca="1" si="396"/>
        <v>0</v>
      </c>
      <c r="R894" s="306">
        <f t="shared" ca="1" si="397"/>
        <v>0</v>
      </c>
      <c r="S894" s="307">
        <f t="shared" ca="1" si="398"/>
        <v>6.1519999999999921</v>
      </c>
      <c r="T894" s="304">
        <f t="shared" ca="1" si="378"/>
        <v>60.351119999999923</v>
      </c>
      <c r="U894" s="311">
        <f t="shared" ca="1" si="379"/>
        <v>0</v>
      </c>
      <c r="V894" s="306">
        <f t="shared" ca="1" si="380"/>
        <v>1.2255798635106552</v>
      </c>
      <c r="W894" s="304">
        <f t="shared" ca="1" si="381"/>
        <v>52.206355949839676</v>
      </c>
      <c r="Y894" s="314" t="str">
        <f t="shared" ca="1" si="399"/>
        <v/>
      </c>
      <c r="Z894" s="315" t="str">
        <f t="shared" ca="1" si="400"/>
        <v/>
      </c>
      <c r="AA894" s="316" t="str">
        <f t="shared" ca="1" si="401"/>
        <v/>
      </c>
      <c r="AC894" s="310" t="e">
        <f t="shared" ca="1" si="402"/>
        <v>#N/A</v>
      </c>
      <c r="AD894" s="323" t="e">
        <f t="shared" ca="1" si="403"/>
        <v>#N/A</v>
      </c>
      <c r="AE894" s="324" t="e">
        <f t="shared" ca="1" si="382"/>
        <v>#N/A</v>
      </c>
      <c r="AG894" s="306">
        <f t="shared" ca="1" si="404"/>
        <v>1.31351198666108</v>
      </c>
      <c r="AH894" s="304">
        <f t="shared" ca="1" si="405"/>
        <v>-8.4860507110404608</v>
      </c>
    </row>
    <row r="895" spans="1:34" x14ac:dyDescent="0.2">
      <c r="A895" s="347">
        <f t="shared" ca="1" si="383"/>
        <v>1E-4</v>
      </c>
      <c r="B895" s="304">
        <f t="shared" ca="1" si="384"/>
        <v>41.411700000000664</v>
      </c>
      <c r="D895" s="306">
        <f t="shared" ca="1" si="385"/>
        <v>-0.39134787576924596</v>
      </c>
      <c r="E895" s="307">
        <f t="shared" ca="1" si="386"/>
        <v>-1.3329499260466395</v>
      </c>
      <c r="F895" s="304">
        <f t="shared" ca="1" si="387"/>
        <v>1.3892115264483098</v>
      </c>
      <c r="G895" s="306">
        <f t="shared" ca="1" si="388"/>
        <v>6.2293721047039678</v>
      </c>
      <c r="H895" s="307">
        <f t="shared" ca="1" si="389"/>
        <v>-134.93642470737967</v>
      </c>
      <c r="I895" s="304">
        <f t="shared" ca="1" si="390"/>
        <v>135.08013839802359</v>
      </c>
      <c r="J895" s="306">
        <f t="shared" ca="1" si="391"/>
        <v>568.62651553779426</v>
      </c>
      <c r="K895" s="307">
        <f t="shared" ca="1" si="392"/>
        <v>-4.745953240892959</v>
      </c>
      <c r="L895" s="304">
        <f t="shared" ca="1" si="377"/>
        <v>568.64632087512712</v>
      </c>
      <c r="M895" s="306">
        <f t="shared" ca="1" si="393"/>
        <v>-1.5246638435751738</v>
      </c>
      <c r="N895" s="304">
        <f t="shared" ca="1" si="394"/>
        <v>-87.356803413051793</v>
      </c>
      <c r="P895" s="310">
        <f t="shared" ca="1" si="395"/>
        <v>23</v>
      </c>
      <c r="Q895" s="304">
        <f t="shared" ca="1" si="396"/>
        <v>0</v>
      </c>
      <c r="R895" s="306">
        <f t="shared" ca="1" si="397"/>
        <v>0</v>
      </c>
      <c r="S895" s="307">
        <f t="shared" ca="1" si="398"/>
        <v>6.1519999999999921</v>
      </c>
      <c r="T895" s="304">
        <f t="shared" ca="1" si="378"/>
        <v>60.351119999999923</v>
      </c>
      <c r="U895" s="311">
        <f t="shared" ca="1" si="379"/>
        <v>0</v>
      </c>
      <c r="V895" s="306">
        <f t="shared" ca="1" si="380"/>
        <v>1.2255815172646969</v>
      </c>
      <c r="W895" s="304">
        <f t="shared" ca="1" si="381"/>
        <v>52.206527923746826</v>
      </c>
      <c r="Y895" s="314" t="str">
        <f t="shared" ca="1" si="399"/>
        <v/>
      </c>
      <c r="Z895" s="315" t="str">
        <f t="shared" ca="1" si="400"/>
        <v/>
      </c>
      <c r="AA895" s="316" t="str">
        <f t="shared" ca="1" si="401"/>
        <v/>
      </c>
      <c r="AC895" s="310" t="e">
        <f t="shared" ca="1" si="402"/>
        <v>#N/A</v>
      </c>
      <c r="AD895" s="323" t="e">
        <f t="shared" ca="1" si="403"/>
        <v>#N/A</v>
      </c>
      <c r="AE895" s="324" t="e">
        <f t="shared" ca="1" si="382"/>
        <v>#N/A</v>
      </c>
      <c r="AG895" s="306">
        <f t="shared" ca="1" si="404"/>
        <v>1.313484183770699</v>
      </c>
      <c r="AH895" s="304">
        <f t="shared" ca="1" si="405"/>
        <v>-8.4860786654485931</v>
      </c>
    </row>
    <row r="896" spans="1:34" x14ac:dyDescent="0.2">
      <c r="A896" s="347">
        <f t="shared" ca="1" si="383"/>
        <v>1E-4</v>
      </c>
      <c r="B896" s="304">
        <f t="shared" ca="1" si="384"/>
        <v>41.411800000000667</v>
      </c>
      <c r="D896" s="306">
        <f t="shared" ca="1" si="385"/>
        <v>-0.39134632582239498</v>
      </c>
      <c r="E896" s="307">
        <f t="shared" ca="1" si="386"/>
        <v>-1.3329218705738519</v>
      </c>
      <c r="F896" s="304">
        <f t="shared" ca="1" si="387"/>
        <v>1.3891841705795474</v>
      </c>
      <c r="G896" s="306">
        <f t="shared" ca="1" si="388"/>
        <v>6.2293329700713853</v>
      </c>
      <c r="H896" s="307">
        <f t="shared" ca="1" si="389"/>
        <v>-134.93655799956673</v>
      </c>
      <c r="I896" s="304">
        <f t="shared" ca="1" si="390"/>
        <v>135.08026974366928</v>
      </c>
      <c r="J896" s="306">
        <f t="shared" ca="1" si="391"/>
        <v>568.62651553779426</v>
      </c>
      <c r="K896" s="307">
        <f t="shared" ca="1" si="392"/>
        <v>-4.7594468900283067</v>
      </c>
      <c r="L896" s="304">
        <f t="shared" ca="1" si="377"/>
        <v>568.6464336539467</v>
      </c>
      <c r="M896" s="306">
        <f t="shared" ca="1" si="393"/>
        <v>-1.5246641784865231</v>
      </c>
      <c r="N896" s="304">
        <f t="shared" ca="1" si="394"/>
        <v>-87.356822602058628</v>
      </c>
      <c r="P896" s="310">
        <f t="shared" ca="1" si="395"/>
        <v>23</v>
      </c>
      <c r="Q896" s="304">
        <f t="shared" ca="1" si="396"/>
        <v>0</v>
      </c>
      <c r="R896" s="306">
        <f t="shared" ca="1" si="397"/>
        <v>0</v>
      </c>
      <c r="S896" s="307">
        <f t="shared" ca="1" si="398"/>
        <v>6.1519999999999921</v>
      </c>
      <c r="T896" s="304">
        <f t="shared" ca="1" si="378"/>
        <v>60.351119999999923</v>
      </c>
      <c r="U896" s="311">
        <f t="shared" ca="1" si="379"/>
        <v>0</v>
      </c>
      <c r="V896" s="306">
        <f t="shared" ca="1" si="380"/>
        <v>1.2255831710226039</v>
      </c>
      <c r="W896" s="304">
        <f t="shared" ca="1" si="381"/>
        <v>52.206699896042267</v>
      </c>
      <c r="Y896" s="314" t="str">
        <f t="shared" ca="1" si="399"/>
        <v/>
      </c>
      <c r="Z896" s="315" t="str">
        <f t="shared" ca="1" si="400"/>
        <v/>
      </c>
      <c r="AA896" s="316" t="str">
        <f t="shared" ca="1" si="401"/>
        <v/>
      </c>
      <c r="AC896" s="310" t="e">
        <f t="shared" ca="1" si="402"/>
        <v>#N/A</v>
      </c>
      <c r="AD896" s="323" t="e">
        <f t="shared" ca="1" si="403"/>
        <v>#N/A</v>
      </c>
      <c r="AE896" s="324" t="e">
        <f t="shared" ca="1" si="382"/>
        <v>#N/A</v>
      </c>
      <c r="AG896" s="306">
        <f t="shared" ca="1" si="404"/>
        <v>1.313456381139952</v>
      </c>
      <c r="AH896" s="304">
        <f t="shared" ca="1" si="405"/>
        <v>-8.4861066195947483</v>
      </c>
    </row>
    <row r="897" spans="1:34" x14ac:dyDescent="0.2">
      <c r="A897" s="347">
        <f t="shared" ca="1" si="383"/>
        <v>1E-4</v>
      </c>
      <c r="B897" s="304">
        <f t="shared" ca="1" si="384"/>
        <v>41.411900000000671</v>
      </c>
      <c r="D897" s="306">
        <f t="shared" ca="1" si="385"/>
        <v>-0.39134477586807154</v>
      </c>
      <c r="E897" s="307">
        <f t="shared" ca="1" si="386"/>
        <v>-1.3328938153639331</v>
      </c>
      <c r="F897" s="304">
        <f t="shared" ca="1" si="387"/>
        <v>1.3891568149905373</v>
      </c>
      <c r="G897" s="306">
        <f t="shared" ca="1" si="388"/>
        <v>6.2292938355937988</v>
      </c>
      <c r="H897" s="307">
        <f t="shared" ca="1" si="389"/>
        <v>-134.93669128894825</v>
      </c>
      <c r="I897" s="304">
        <f t="shared" ca="1" si="390"/>
        <v>135.08040108653472</v>
      </c>
      <c r="J897" s="306">
        <f t="shared" ca="1" si="391"/>
        <v>568.62651553779426</v>
      </c>
      <c r="K897" s="307">
        <f t="shared" ca="1" si="392"/>
        <v>-4.7729405524927326</v>
      </c>
      <c r="L897" s="304">
        <f t="shared" ca="1" si="377"/>
        <v>568.64654675305201</v>
      </c>
      <c r="M897" s="306">
        <f t="shared" ca="1" si="393"/>
        <v>-1.5246645133951171</v>
      </c>
      <c r="N897" s="304">
        <f t="shared" ca="1" si="394"/>
        <v>-87.356841790907581</v>
      </c>
      <c r="P897" s="310">
        <f t="shared" ca="1" si="395"/>
        <v>23</v>
      </c>
      <c r="Q897" s="304">
        <f t="shared" ca="1" si="396"/>
        <v>0</v>
      </c>
      <c r="R897" s="306">
        <f t="shared" ca="1" si="397"/>
        <v>0</v>
      </c>
      <c r="S897" s="307">
        <f t="shared" ca="1" si="398"/>
        <v>6.1519999999999921</v>
      </c>
      <c r="T897" s="304">
        <f t="shared" ca="1" si="378"/>
        <v>60.351119999999923</v>
      </c>
      <c r="U897" s="311">
        <f t="shared" ca="1" si="379"/>
        <v>0</v>
      </c>
      <c r="V897" s="306">
        <f t="shared" ca="1" si="380"/>
        <v>1.2255848247843768</v>
      </c>
      <c r="W897" s="304">
        <f t="shared" ca="1" si="381"/>
        <v>52.206871866726054</v>
      </c>
      <c r="Y897" s="314" t="str">
        <f t="shared" ca="1" si="399"/>
        <v/>
      </c>
      <c r="Z897" s="315" t="str">
        <f t="shared" ca="1" si="400"/>
        <v/>
      </c>
      <c r="AA897" s="316" t="str">
        <f t="shared" ca="1" si="401"/>
        <v/>
      </c>
      <c r="AC897" s="310" t="e">
        <f t="shared" ca="1" si="402"/>
        <v>#N/A</v>
      </c>
      <c r="AD897" s="323" t="e">
        <f t="shared" ca="1" si="403"/>
        <v>#N/A</v>
      </c>
      <c r="AE897" s="324" t="e">
        <f t="shared" ca="1" si="382"/>
        <v>#N/A</v>
      </c>
      <c r="AG897" s="306">
        <f t="shared" ca="1" si="404"/>
        <v>1.3134285787688373</v>
      </c>
      <c r="AH897" s="304">
        <f t="shared" ca="1" si="405"/>
        <v>-8.4861345734789229</v>
      </c>
    </row>
    <row r="898" spans="1:34" x14ac:dyDescent="0.2">
      <c r="A898" s="347">
        <f t="shared" ca="1" si="383"/>
        <v>1E-4</v>
      </c>
      <c r="B898" s="304">
        <f t="shared" ca="1" si="384"/>
        <v>41.412000000000674</v>
      </c>
      <c r="D898" s="306">
        <f t="shared" ca="1" si="385"/>
        <v>-0.39134322590627646</v>
      </c>
      <c r="E898" s="307">
        <f t="shared" ca="1" si="386"/>
        <v>-1.3328657604168725</v>
      </c>
      <c r="F898" s="304">
        <f t="shared" ca="1" si="387"/>
        <v>1.3891294596812707</v>
      </c>
      <c r="G898" s="306">
        <f t="shared" ca="1" si="388"/>
        <v>6.2292547012712083</v>
      </c>
      <c r="H898" s="307">
        <f t="shared" ca="1" si="389"/>
        <v>-134.9368245755243</v>
      </c>
      <c r="I898" s="304">
        <f t="shared" ca="1" si="390"/>
        <v>135.08053242661998</v>
      </c>
      <c r="J898" s="306">
        <f t="shared" ca="1" si="391"/>
        <v>568.62651553779426</v>
      </c>
      <c r="K898" s="307">
        <f t="shared" ca="1" si="392"/>
        <v>-4.7864342282859562</v>
      </c>
      <c r="L898" s="304">
        <f t="shared" ca="1" si="377"/>
        <v>568.64666017244406</v>
      </c>
      <c r="M898" s="306">
        <f t="shared" ca="1" si="393"/>
        <v>-1.5246648483009559</v>
      </c>
      <c r="N898" s="304">
        <f t="shared" ca="1" si="394"/>
        <v>-87.356860979598679</v>
      </c>
      <c r="P898" s="310">
        <f t="shared" ca="1" si="395"/>
        <v>23</v>
      </c>
      <c r="Q898" s="304">
        <f t="shared" ca="1" si="396"/>
        <v>0</v>
      </c>
      <c r="R898" s="306">
        <f t="shared" ca="1" si="397"/>
        <v>0</v>
      </c>
      <c r="S898" s="307">
        <f t="shared" ca="1" si="398"/>
        <v>6.1519999999999921</v>
      </c>
      <c r="T898" s="304">
        <f t="shared" ca="1" si="378"/>
        <v>60.351119999999923</v>
      </c>
      <c r="U898" s="311">
        <f t="shared" ca="1" si="379"/>
        <v>0</v>
      </c>
      <c r="V898" s="306">
        <f t="shared" ca="1" si="380"/>
        <v>1.2255864785500152</v>
      </c>
      <c r="W898" s="304">
        <f t="shared" ca="1" si="381"/>
        <v>52.207043835798189</v>
      </c>
      <c r="Y898" s="314" t="str">
        <f t="shared" ca="1" si="399"/>
        <v/>
      </c>
      <c r="Z898" s="315" t="str">
        <f t="shared" ca="1" si="400"/>
        <v/>
      </c>
      <c r="AA898" s="316" t="str">
        <f t="shared" ca="1" si="401"/>
        <v/>
      </c>
      <c r="AC898" s="310" t="e">
        <f t="shared" ca="1" si="402"/>
        <v>#N/A</v>
      </c>
      <c r="AD898" s="323" t="e">
        <f t="shared" ca="1" si="403"/>
        <v>#N/A</v>
      </c>
      <c r="AE898" s="324" t="e">
        <f t="shared" ca="1" si="382"/>
        <v>#N/A</v>
      </c>
      <c r="AG898" s="306">
        <f t="shared" ca="1" si="404"/>
        <v>1.3134007766573514</v>
      </c>
      <c r="AH898" s="304">
        <f t="shared" ca="1" si="405"/>
        <v>-8.4861625271011256</v>
      </c>
    </row>
    <row r="899" spans="1:34" x14ac:dyDescent="0.2">
      <c r="A899" s="347">
        <f t="shared" ca="1" si="383"/>
        <v>1E-4</v>
      </c>
      <c r="B899" s="304">
        <f t="shared" ca="1" si="384"/>
        <v>41.412100000000677</v>
      </c>
      <c r="D899" s="306">
        <f t="shared" ca="1" si="385"/>
        <v>-0.39134167593700836</v>
      </c>
      <c r="E899" s="307">
        <f t="shared" ca="1" si="386"/>
        <v>-1.3328377057326719</v>
      </c>
      <c r="F899" s="304">
        <f t="shared" ca="1" si="387"/>
        <v>1.3891021046517491</v>
      </c>
      <c r="G899" s="306">
        <f t="shared" ca="1" si="388"/>
        <v>6.2292155671036147</v>
      </c>
      <c r="H899" s="307">
        <f t="shared" ca="1" si="389"/>
        <v>-134.93695785929486</v>
      </c>
      <c r="I899" s="304">
        <f t="shared" ca="1" si="390"/>
        <v>135.080663763925</v>
      </c>
      <c r="J899" s="306">
        <f t="shared" ca="1" si="391"/>
        <v>568.62651553779426</v>
      </c>
      <c r="K899" s="307">
        <f t="shared" ca="1" si="392"/>
        <v>-4.7999279174076968</v>
      </c>
      <c r="L899" s="304">
        <f t="shared" ca="1" si="377"/>
        <v>568.64677391212342</v>
      </c>
      <c r="M899" s="306">
        <f t="shared" ca="1" si="393"/>
        <v>-1.5246651832040394</v>
      </c>
      <c r="N899" s="304">
        <f t="shared" ca="1" si="394"/>
        <v>-87.356880168131909</v>
      </c>
      <c r="P899" s="310">
        <f t="shared" ca="1" si="395"/>
        <v>23</v>
      </c>
      <c r="Q899" s="304">
        <f t="shared" ca="1" si="396"/>
        <v>0</v>
      </c>
      <c r="R899" s="306">
        <f t="shared" ca="1" si="397"/>
        <v>0</v>
      </c>
      <c r="S899" s="307">
        <f t="shared" ca="1" si="398"/>
        <v>6.1519999999999921</v>
      </c>
      <c r="T899" s="304">
        <f t="shared" ca="1" si="378"/>
        <v>60.351119999999923</v>
      </c>
      <c r="U899" s="311">
        <f t="shared" ca="1" si="379"/>
        <v>0</v>
      </c>
      <c r="V899" s="306">
        <f t="shared" ca="1" si="380"/>
        <v>1.2255881323195195</v>
      </c>
      <c r="W899" s="304">
        <f t="shared" ca="1" si="381"/>
        <v>52.207215803258627</v>
      </c>
      <c r="Y899" s="314" t="str">
        <f t="shared" ca="1" si="399"/>
        <v/>
      </c>
      <c r="Z899" s="315" t="str">
        <f t="shared" ca="1" si="400"/>
        <v/>
      </c>
      <c r="AA899" s="316" t="str">
        <f t="shared" ca="1" si="401"/>
        <v/>
      </c>
      <c r="AC899" s="310" t="e">
        <f t="shared" ca="1" si="402"/>
        <v>#N/A</v>
      </c>
      <c r="AD899" s="323" t="e">
        <f t="shared" ca="1" si="403"/>
        <v>#N/A</v>
      </c>
      <c r="AE899" s="324" t="e">
        <f t="shared" ca="1" si="382"/>
        <v>#N/A</v>
      </c>
      <c r="AG899" s="306">
        <f t="shared" ca="1" si="404"/>
        <v>1.3133729748054925</v>
      </c>
      <c r="AH899" s="304">
        <f t="shared" ca="1" si="405"/>
        <v>-8.4861904804613548</v>
      </c>
    </row>
    <row r="900" spans="1:34" x14ac:dyDescent="0.2">
      <c r="A900" s="347">
        <f t="shared" ca="1" si="383"/>
        <v>1E-4</v>
      </c>
      <c r="B900" s="304">
        <f t="shared" ca="1" si="384"/>
        <v>41.412200000000681</v>
      </c>
      <c r="D900" s="306">
        <f t="shared" ca="1" si="385"/>
        <v>-0.39134012596026935</v>
      </c>
      <c r="E900" s="307">
        <f t="shared" ca="1" si="386"/>
        <v>-1.3328096513113366</v>
      </c>
      <c r="F900" s="304">
        <f t="shared" ca="1" si="387"/>
        <v>1.3890747499019791</v>
      </c>
      <c r="G900" s="306">
        <f t="shared" ca="1" si="388"/>
        <v>6.2291764330910189</v>
      </c>
      <c r="H900" s="307">
        <f t="shared" ca="1" si="389"/>
        <v>-134.93709114026001</v>
      </c>
      <c r="I900" s="304">
        <f t="shared" ca="1" si="390"/>
        <v>135.08079509844993</v>
      </c>
      <c r="J900" s="306">
        <f t="shared" ca="1" si="391"/>
        <v>568.62651553779426</v>
      </c>
      <c r="K900" s="307">
        <f t="shared" ca="1" si="392"/>
        <v>-4.8134216198576745</v>
      </c>
      <c r="L900" s="304">
        <f t="shared" ref="L900:L963" ca="1" si="406">SQRT(pos_x^2+pos_z^2)</f>
        <v>568.64688797209101</v>
      </c>
      <c r="M900" s="306">
        <f t="shared" ca="1" si="393"/>
        <v>-1.5246655181043678</v>
      </c>
      <c r="N900" s="304">
        <f t="shared" ca="1" si="394"/>
        <v>-87.356899356507284</v>
      </c>
      <c r="P900" s="310">
        <f t="shared" ca="1" si="395"/>
        <v>23</v>
      </c>
      <c r="Q900" s="304">
        <f t="shared" ca="1" si="396"/>
        <v>0</v>
      </c>
      <c r="R900" s="306">
        <f t="shared" ca="1" si="397"/>
        <v>0</v>
      </c>
      <c r="S900" s="307">
        <f t="shared" ca="1" si="398"/>
        <v>6.1519999999999921</v>
      </c>
      <c r="T900" s="304">
        <f t="shared" ref="T900:T963" ca="1" si="407">m*g</f>
        <v>60.351119999999923</v>
      </c>
      <c r="U900" s="311">
        <f t="shared" ref="U900:U963" ca="1" si="408">IF(pos_xz&lt;L_rampe,Poids*COS(Beta),0)</f>
        <v>0</v>
      </c>
      <c r="V900" s="306">
        <f t="shared" ref="V900:V963" ca="1" si="409">Rho_moyen*(20000-Alt_rampe-pos_z)/(20000+Alt_rampe+pos_z)</f>
        <v>1.225589786092889</v>
      </c>
      <c r="W900" s="304">
        <f t="shared" ref="W900:W963" ca="1" si="410">1/2*Rho*Sref*Cx*vit_xz^2</f>
        <v>52.207387769107434</v>
      </c>
      <c r="Y900" s="314" t="str">
        <f t="shared" ca="1" si="399"/>
        <v/>
      </c>
      <c r="Z900" s="315" t="str">
        <f t="shared" ca="1" si="400"/>
        <v/>
      </c>
      <c r="AA900" s="316" t="str">
        <f t="shared" ca="1" si="401"/>
        <v/>
      </c>
      <c r="AC900" s="310" t="e">
        <f t="shared" ca="1" si="402"/>
        <v>#N/A</v>
      </c>
      <c r="AD900" s="323" t="e">
        <f t="shared" ca="1" si="403"/>
        <v>#N/A</v>
      </c>
      <c r="AE900" s="324" t="e">
        <f t="shared" ref="AE900:AE963" ca="1" si="411">IF(t&lt;T_para, pos_z, NA())</f>
        <v>#N/A</v>
      </c>
      <c r="AG900" s="306">
        <f t="shared" ca="1" si="404"/>
        <v>1.3133451732132677</v>
      </c>
      <c r="AH900" s="304">
        <f t="shared" ca="1" si="405"/>
        <v>-8.4862184335596051</v>
      </c>
    </row>
    <row r="901" spans="1:34" x14ac:dyDescent="0.2">
      <c r="A901" s="347">
        <f t="shared" ref="A901:A964" ca="1" si="412">IF(B900+0.01&lt;=T_ini+ROUNDUP(Temps_fin_propu,0), 0.01, IF(K900&gt;0, 0.1, 0.0001))</f>
        <v>1E-4</v>
      </c>
      <c r="B901" s="304">
        <f t="shared" ref="B901:B964" ca="1" si="413">B900+pas</f>
        <v>41.412300000000684</v>
      </c>
      <c r="D901" s="306">
        <f t="shared" ref="D901:D964" ca="1" si="414">IF(AND(L900&lt;L_rampe,Poussee&lt;Poids*SIN(M900)),0,(-W900+Poussee)/m*COS(M900)-U900/m*SIN(M900))</f>
        <v>-0.39133857597605853</v>
      </c>
      <c r="E901" s="307">
        <f t="shared" ref="E901:E964" ca="1" si="415">IF(AND(L900&lt;L_rampe,Poussee&lt;Poids*SIN(M900)),0,(-W900+Poussee)/m*SIN(M900)+U900/m*COS(M900)-Poids/m)</f>
        <v>-1.3327815971528558</v>
      </c>
      <c r="F901" s="304">
        <f t="shared" ref="F901:F964" ca="1" si="416">SQRT(acc_x^2+acc_z^2)</f>
        <v>1.3890473954319509</v>
      </c>
      <c r="G901" s="306">
        <f t="shared" ref="G901:G964" ca="1" si="417">G900+acc_x*pas</f>
        <v>6.2291372992334209</v>
      </c>
      <c r="H901" s="307">
        <f t="shared" ref="H901:H964" ca="1" si="418">H900+acc_z*pas</f>
        <v>-134.93722441841973</v>
      </c>
      <c r="I901" s="304">
        <f t="shared" ref="I901:I964" ca="1" si="419">SQRT(vit_x^2+vit_z^2)</f>
        <v>135.08092643019469</v>
      </c>
      <c r="J901" s="306">
        <f t="shared" ref="J901:J964" ca="1" si="420">J900+0.5*(vit_x+G900)*pas*(K900&gt;=0)</f>
        <v>568.62651553779426</v>
      </c>
      <c r="K901" s="307">
        <f t="shared" ref="K901:K964" ca="1" si="421">K900+0.5*(vit_z+H900)*pas</f>
        <v>-4.8269153356356087</v>
      </c>
      <c r="L901" s="304">
        <f t="shared" ca="1" si="406"/>
        <v>568.6470023523475</v>
      </c>
      <c r="M901" s="306">
        <f t="shared" ref="M901:M964" ca="1" si="422">IF(AND(L900&gt;L_rampe,G901&gt;0),ATAN2(G901,H901),$M$4)</f>
        <v>-1.524665853001941</v>
      </c>
      <c r="N901" s="304">
        <f t="shared" ref="N901:N964" ca="1" si="423">DEGREES(Beta)</f>
        <v>-87.356918544724792</v>
      </c>
      <c r="P901" s="310">
        <f t="shared" ref="P901:P964" ca="1" si="424">MATCH(t-pas/2-T_ini,CdP_t)</f>
        <v>23</v>
      </c>
      <c r="Q901" s="304">
        <f t="shared" ref="Q901:Q964" ca="1" si="425">(INDEX(CdP,2,i_P+1)-INDEX(CdP,2,i_P+0))/(INDEX(CdP,1,i_P+1)-INDEX(CdP,1,i_P+0))*(t-pas/2-T_ini-INDEX(CdP,1,i_P+0))+INDEX(CdP,2,i_P+0)</f>
        <v>0</v>
      </c>
      <c r="R901" s="306">
        <f t="shared" ref="R901:R964" ca="1" si="426">Poussee/(g*ISP)</f>
        <v>0</v>
      </c>
      <c r="S901" s="307">
        <f t="shared" ref="S901:S964" ca="1" si="427">S900-Débit*pas</f>
        <v>6.1519999999999921</v>
      </c>
      <c r="T901" s="304">
        <f t="shared" ca="1" si="407"/>
        <v>60.351119999999923</v>
      </c>
      <c r="U901" s="311">
        <f t="shared" ca="1" si="408"/>
        <v>0</v>
      </c>
      <c r="V901" s="306">
        <f t="shared" ca="1" si="409"/>
        <v>1.2255914398701242</v>
      </c>
      <c r="W901" s="304">
        <f t="shared" ca="1" si="410"/>
        <v>52.207559733344588</v>
      </c>
      <c r="Y901" s="314" t="str">
        <f t="shared" ref="Y901:Y964" ca="1" si="428">IF(AND(pos_z&lt;=0,K900&gt;0),"Impact balistique","") &amp; IF(AND(H902&lt;0,vit_z&gt;=0),"Apogée","") &amp; IF(AND(Poussee=0,Q900&gt;0),"Fin de propulsion","") &amp; IF(AND(L902&gt;L_rampe,pos_xz&lt;=L_rampe),"Sortie de rampe","")</f>
        <v/>
      </c>
      <c r="Z901" s="315" t="str">
        <f t="shared" ref="Z901:Z964" ca="1" si="429">IF(ABS(t-T_para)&lt;pas/2,"Para","")</f>
        <v/>
      </c>
      <c r="AA901" s="316" t="str">
        <f t="shared" ref="AA901:AA964" ca="1" si="430">IF(ABS(t-T_satellite)&lt;pas/2,"Satellite","")</f>
        <v/>
      </c>
      <c r="AC901" s="310" t="e">
        <f t="shared" ref="AC901:AC964" ca="1" si="431">IF(ABS(t-ROUND(t,0))&lt;0.001,t,NA())</f>
        <v>#N/A</v>
      </c>
      <c r="AD901" s="323" t="e">
        <f t="shared" ref="AD901:AD964" ca="1" si="432">IF(ABS(t-ROUND(t,0))&lt;0.001,pos_x,NA())</f>
        <v>#N/A</v>
      </c>
      <c r="AE901" s="324" t="e">
        <f t="shared" ca="1" si="411"/>
        <v>#N/A</v>
      </c>
      <c r="AG901" s="306">
        <f t="shared" ref="AG901:AG964" ca="1" si="433">IF(AND(L900&lt;L_rampe,Poussee&lt;Poids*SIN(M900)),0,(-W900+Poussee)/m-Poids*SIN(M900)/m)</f>
        <v>1.3133173718806646</v>
      </c>
      <c r="AH901" s="304">
        <f t="shared" ref="AH901:AH964" ca="1" si="434">IF(AND(L900&lt;L_rampe,Poussee&lt;Poids*SIN(M900)), g*SIN(M900), (-W900+Poussee)/m)</f>
        <v>-8.4862463863958872</v>
      </c>
    </row>
    <row r="902" spans="1:34" x14ac:dyDescent="0.2">
      <c r="A902" s="347">
        <f t="shared" ca="1" si="412"/>
        <v>1E-4</v>
      </c>
      <c r="B902" s="304">
        <f t="shared" ca="1" si="413"/>
        <v>41.412400000000687</v>
      </c>
      <c r="D902" s="306">
        <f t="shared" ca="1" si="414"/>
        <v>-0.39133702598437625</v>
      </c>
      <c r="E902" s="307">
        <f t="shared" ca="1" si="415"/>
        <v>-1.3327535432572351</v>
      </c>
      <c r="F902" s="304">
        <f t="shared" ca="1" si="416"/>
        <v>1.3890200412416702</v>
      </c>
      <c r="G902" s="306">
        <f t="shared" ca="1" si="417"/>
        <v>6.2290981655308224</v>
      </c>
      <c r="H902" s="307">
        <f t="shared" ca="1" si="418"/>
        <v>-134.93735769377406</v>
      </c>
      <c r="I902" s="304">
        <f t="shared" ca="1" si="419"/>
        <v>135.08105775915936</v>
      </c>
      <c r="J902" s="306">
        <f t="shared" ca="1" si="420"/>
        <v>568.62651553779426</v>
      </c>
      <c r="K902" s="307">
        <f t="shared" ca="1" si="421"/>
        <v>-4.8404090647412188</v>
      </c>
      <c r="L902" s="304">
        <f t="shared" ca="1" si="406"/>
        <v>568.64711705289369</v>
      </c>
      <c r="M902" s="306">
        <f t="shared" ca="1" si="422"/>
        <v>-1.5246661878967591</v>
      </c>
      <c r="N902" s="304">
        <f t="shared" ca="1" si="423"/>
        <v>-87.356937732784459</v>
      </c>
      <c r="P902" s="310">
        <f t="shared" ca="1" si="424"/>
        <v>23</v>
      </c>
      <c r="Q902" s="304">
        <f t="shared" ca="1" si="425"/>
        <v>0</v>
      </c>
      <c r="R902" s="306">
        <f t="shared" ca="1" si="426"/>
        <v>0</v>
      </c>
      <c r="S902" s="307">
        <f t="shared" ca="1" si="427"/>
        <v>6.1519999999999921</v>
      </c>
      <c r="T902" s="304">
        <f t="shared" ca="1" si="407"/>
        <v>60.351119999999923</v>
      </c>
      <c r="U902" s="311">
        <f t="shared" ca="1" si="408"/>
        <v>0</v>
      </c>
      <c r="V902" s="306">
        <f t="shared" ca="1" si="409"/>
        <v>1.2255930936512252</v>
      </c>
      <c r="W902" s="304">
        <f t="shared" ca="1" si="410"/>
        <v>52.207731695970104</v>
      </c>
      <c r="Y902" s="314" t="str">
        <f t="shared" ca="1" si="428"/>
        <v/>
      </c>
      <c r="Z902" s="315" t="str">
        <f t="shared" ca="1" si="429"/>
        <v/>
      </c>
      <c r="AA902" s="316" t="str">
        <f t="shared" ca="1" si="430"/>
        <v/>
      </c>
      <c r="AC902" s="310" t="e">
        <f t="shared" ca="1" si="431"/>
        <v>#N/A</v>
      </c>
      <c r="AD902" s="323" t="e">
        <f t="shared" ca="1" si="432"/>
        <v>#N/A</v>
      </c>
      <c r="AE902" s="324" t="e">
        <f t="shared" ca="1" si="411"/>
        <v>#N/A</v>
      </c>
      <c r="AG902" s="306">
        <f t="shared" ca="1" si="433"/>
        <v>1.3132895708076884</v>
      </c>
      <c r="AH902" s="304">
        <f t="shared" ca="1" si="434"/>
        <v>-8.4862743389701976</v>
      </c>
    </row>
    <row r="903" spans="1:34" x14ac:dyDescent="0.2">
      <c r="A903" s="347">
        <f t="shared" ca="1" si="412"/>
        <v>1E-4</v>
      </c>
      <c r="B903" s="304">
        <f t="shared" ca="1" si="413"/>
        <v>41.412500000000691</v>
      </c>
      <c r="D903" s="306">
        <f t="shared" ca="1" si="414"/>
        <v>-0.391335475985223</v>
      </c>
      <c r="E903" s="307">
        <f t="shared" ca="1" si="415"/>
        <v>-1.3327254896244707</v>
      </c>
      <c r="F903" s="304">
        <f t="shared" ca="1" si="416"/>
        <v>1.3889926873311342</v>
      </c>
      <c r="G903" s="306">
        <f t="shared" ca="1" si="417"/>
        <v>6.2290590319832235</v>
      </c>
      <c r="H903" s="307">
        <f t="shared" ca="1" si="418"/>
        <v>-134.93749096632303</v>
      </c>
      <c r="I903" s="304">
        <f t="shared" ca="1" si="419"/>
        <v>135.08118908534394</v>
      </c>
      <c r="J903" s="306">
        <f t="shared" ca="1" si="420"/>
        <v>568.62651553779426</v>
      </c>
      <c r="K903" s="307">
        <f t="shared" ca="1" si="421"/>
        <v>-4.8539028071742241</v>
      </c>
      <c r="L903" s="304">
        <f t="shared" ca="1" si="406"/>
        <v>568.64723207373027</v>
      </c>
      <c r="M903" s="306">
        <f t="shared" ca="1" si="422"/>
        <v>-1.5246665227888221</v>
      </c>
      <c r="N903" s="304">
        <f t="shared" ca="1" si="423"/>
        <v>-87.356956920686258</v>
      </c>
      <c r="P903" s="310">
        <f t="shared" ca="1" si="424"/>
        <v>23</v>
      </c>
      <c r="Q903" s="304">
        <f t="shared" ca="1" si="425"/>
        <v>0</v>
      </c>
      <c r="R903" s="306">
        <f t="shared" ca="1" si="426"/>
        <v>0</v>
      </c>
      <c r="S903" s="307">
        <f t="shared" ca="1" si="427"/>
        <v>6.1519999999999921</v>
      </c>
      <c r="T903" s="304">
        <f t="shared" ca="1" si="407"/>
        <v>60.351119999999923</v>
      </c>
      <c r="U903" s="311">
        <f t="shared" ca="1" si="408"/>
        <v>0</v>
      </c>
      <c r="V903" s="306">
        <f t="shared" ca="1" si="409"/>
        <v>1.2255947474361915</v>
      </c>
      <c r="W903" s="304">
        <f t="shared" ca="1" si="410"/>
        <v>52.207903656983973</v>
      </c>
      <c r="Y903" s="314" t="str">
        <f t="shared" ca="1" si="428"/>
        <v/>
      </c>
      <c r="Z903" s="315" t="str">
        <f t="shared" ca="1" si="429"/>
        <v/>
      </c>
      <c r="AA903" s="316" t="str">
        <f t="shared" ca="1" si="430"/>
        <v/>
      </c>
      <c r="AC903" s="310" t="e">
        <f t="shared" ca="1" si="431"/>
        <v>#N/A</v>
      </c>
      <c r="AD903" s="323" t="e">
        <f t="shared" ca="1" si="432"/>
        <v>#N/A</v>
      </c>
      <c r="AE903" s="324" t="e">
        <f t="shared" ca="1" si="411"/>
        <v>#N/A</v>
      </c>
      <c r="AG903" s="306">
        <f t="shared" ca="1" si="433"/>
        <v>1.3132617699943356</v>
      </c>
      <c r="AH903" s="304">
        <f t="shared" ca="1" si="434"/>
        <v>-8.4863022912825379</v>
      </c>
    </row>
    <row r="904" spans="1:34" x14ac:dyDescent="0.2">
      <c r="A904" s="347">
        <f t="shared" ca="1" si="412"/>
        <v>1E-4</v>
      </c>
      <c r="B904" s="304">
        <f t="shared" ca="1" si="413"/>
        <v>41.412600000000694</v>
      </c>
      <c r="D904" s="306">
        <f t="shared" ca="1" si="414"/>
        <v>-0.39133392597859928</v>
      </c>
      <c r="E904" s="307">
        <f t="shared" ca="1" si="415"/>
        <v>-1.3326974362545645</v>
      </c>
      <c r="F904" s="304">
        <f t="shared" ca="1" si="416"/>
        <v>1.3889653337003458</v>
      </c>
      <c r="G904" s="306">
        <f t="shared" ca="1" si="417"/>
        <v>6.229019898590626</v>
      </c>
      <c r="H904" s="307">
        <f t="shared" ca="1" si="418"/>
        <v>-134.93762423606665</v>
      </c>
      <c r="I904" s="304">
        <f t="shared" ca="1" si="419"/>
        <v>135.08132040874844</v>
      </c>
      <c r="J904" s="306">
        <f t="shared" ca="1" si="420"/>
        <v>568.62651553779426</v>
      </c>
      <c r="K904" s="307">
        <f t="shared" ca="1" si="421"/>
        <v>-4.8673965629343439</v>
      </c>
      <c r="L904" s="304">
        <f t="shared" ca="1" si="406"/>
        <v>568.64734741485802</v>
      </c>
      <c r="M904" s="306">
        <f t="shared" ca="1" si="422"/>
        <v>-1.5246668576781299</v>
      </c>
      <c r="N904" s="304">
        <f t="shared" ca="1" si="423"/>
        <v>-87.356976108430203</v>
      </c>
      <c r="P904" s="310">
        <f t="shared" ca="1" si="424"/>
        <v>23</v>
      </c>
      <c r="Q904" s="304">
        <f t="shared" ca="1" si="425"/>
        <v>0</v>
      </c>
      <c r="R904" s="306">
        <f t="shared" ca="1" si="426"/>
        <v>0</v>
      </c>
      <c r="S904" s="307">
        <f t="shared" ca="1" si="427"/>
        <v>6.1519999999999921</v>
      </c>
      <c r="T904" s="304">
        <f t="shared" ca="1" si="407"/>
        <v>60.351119999999923</v>
      </c>
      <c r="U904" s="311">
        <f t="shared" ca="1" si="408"/>
        <v>0</v>
      </c>
      <c r="V904" s="306">
        <f t="shared" ca="1" si="409"/>
        <v>1.2255964012250233</v>
      </c>
      <c r="W904" s="304">
        <f t="shared" ca="1" si="410"/>
        <v>52.208075616386182</v>
      </c>
      <c r="Y904" s="314" t="str">
        <f t="shared" ca="1" si="428"/>
        <v/>
      </c>
      <c r="Z904" s="315" t="str">
        <f t="shared" ca="1" si="429"/>
        <v/>
      </c>
      <c r="AA904" s="316" t="str">
        <f t="shared" ca="1" si="430"/>
        <v/>
      </c>
      <c r="AC904" s="310" t="e">
        <f t="shared" ca="1" si="431"/>
        <v>#N/A</v>
      </c>
      <c r="AD904" s="323" t="e">
        <f t="shared" ca="1" si="432"/>
        <v>#N/A</v>
      </c>
      <c r="AE904" s="324" t="e">
        <f t="shared" ca="1" si="411"/>
        <v>#N/A</v>
      </c>
      <c r="AG904" s="306">
        <f t="shared" ca="1" si="433"/>
        <v>1.3132339694406099</v>
      </c>
      <c r="AH904" s="304">
        <f t="shared" ca="1" si="434"/>
        <v>-8.4863302433329064</v>
      </c>
    </row>
    <row r="905" spans="1:34" x14ac:dyDescent="0.2">
      <c r="A905" s="347">
        <f t="shared" ca="1" si="412"/>
        <v>1E-4</v>
      </c>
      <c r="B905" s="304">
        <f t="shared" ca="1" si="413"/>
        <v>41.412700000000697</v>
      </c>
      <c r="D905" s="306">
        <f t="shared" ca="1" si="414"/>
        <v>-0.39133237596450543</v>
      </c>
      <c r="E905" s="307">
        <f t="shared" ca="1" si="415"/>
        <v>-1.33266938314752</v>
      </c>
      <c r="F905" s="304">
        <f t="shared" ca="1" si="416"/>
        <v>1.3889379803493087</v>
      </c>
      <c r="G905" s="306">
        <f t="shared" ca="1" si="417"/>
        <v>6.2289807653530298</v>
      </c>
      <c r="H905" s="307">
        <f t="shared" ca="1" si="418"/>
        <v>-134.93775750300497</v>
      </c>
      <c r="I905" s="304">
        <f t="shared" ca="1" si="419"/>
        <v>135.08145172937296</v>
      </c>
      <c r="J905" s="306">
        <f t="shared" ca="1" si="420"/>
        <v>568.62651553779426</v>
      </c>
      <c r="K905" s="307">
        <f t="shared" ca="1" si="421"/>
        <v>-4.8808903320212975</v>
      </c>
      <c r="L905" s="304">
        <f t="shared" ca="1" si="406"/>
        <v>568.64746307627763</v>
      </c>
      <c r="M905" s="306">
        <f t="shared" ca="1" si="422"/>
        <v>-1.5246671925646826</v>
      </c>
      <c r="N905" s="304">
        <f t="shared" ca="1" si="423"/>
        <v>-87.356995296016279</v>
      </c>
      <c r="P905" s="310">
        <f t="shared" ca="1" si="424"/>
        <v>23</v>
      </c>
      <c r="Q905" s="304">
        <f t="shared" ca="1" si="425"/>
        <v>0</v>
      </c>
      <c r="R905" s="306">
        <f t="shared" ca="1" si="426"/>
        <v>0</v>
      </c>
      <c r="S905" s="307">
        <f t="shared" ca="1" si="427"/>
        <v>6.1519999999999921</v>
      </c>
      <c r="T905" s="304">
        <f t="shared" ca="1" si="407"/>
        <v>60.351119999999923</v>
      </c>
      <c r="U905" s="311">
        <f t="shared" ca="1" si="408"/>
        <v>0</v>
      </c>
      <c r="V905" s="306">
        <f t="shared" ca="1" si="409"/>
        <v>1.2255980550177203</v>
      </c>
      <c r="W905" s="304">
        <f t="shared" ca="1" si="410"/>
        <v>52.208247574176788</v>
      </c>
      <c r="Y905" s="314" t="str">
        <f t="shared" ca="1" si="428"/>
        <v/>
      </c>
      <c r="Z905" s="315" t="str">
        <f t="shared" ca="1" si="429"/>
        <v/>
      </c>
      <c r="AA905" s="316" t="str">
        <f t="shared" ca="1" si="430"/>
        <v/>
      </c>
      <c r="AC905" s="310" t="e">
        <f t="shared" ca="1" si="431"/>
        <v>#N/A</v>
      </c>
      <c r="AD905" s="323" t="e">
        <f t="shared" ca="1" si="432"/>
        <v>#N/A</v>
      </c>
      <c r="AE905" s="324" t="e">
        <f t="shared" ca="1" si="411"/>
        <v>#N/A</v>
      </c>
      <c r="AG905" s="306">
        <f t="shared" ca="1" si="433"/>
        <v>1.3132061691465129</v>
      </c>
      <c r="AH905" s="304">
        <f t="shared" ca="1" si="434"/>
        <v>-8.4863581951213014</v>
      </c>
    </row>
    <row r="906" spans="1:34" x14ac:dyDescent="0.2">
      <c r="A906" s="347">
        <f t="shared" ca="1" si="412"/>
        <v>1E-4</v>
      </c>
      <c r="B906" s="304">
        <f t="shared" ca="1" si="413"/>
        <v>41.412800000000701</v>
      </c>
      <c r="D906" s="306">
        <f t="shared" ca="1" si="414"/>
        <v>-0.39133082594294255</v>
      </c>
      <c r="E906" s="307">
        <f t="shared" ca="1" si="415"/>
        <v>-1.3326413303033249</v>
      </c>
      <c r="F906" s="304">
        <f t="shared" ca="1" si="416"/>
        <v>1.3889106272780121</v>
      </c>
      <c r="G906" s="306">
        <f t="shared" ca="1" si="417"/>
        <v>6.2289416322704358</v>
      </c>
      <c r="H906" s="307">
        <f t="shared" ca="1" si="418"/>
        <v>-134.93789076713801</v>
      </c>
      <c r="I906" s="304">
        <f t="shared" ca="1" si="419"/>
        <v>135.08158304721744</v>
      </c>
      <c r="J906" s="306">
        <f t="shared" ca="1" si="420"/>
        <v>568.62651553779426</v>
      </c>
      <c r="K906" s="307">
        <f t="shared" ca="1" si="421"/>
        <v>-4.8943841144348044</v>
      </c>
      <c r="L906" s="304">
        <f t="shared" ca="1" si="406"/>
        <v>568.64757905799001</v>
      </c>
      <c r="M906" s="306">
        <f t="shared" ca="1" si="422"/>
        <v>-1.5246675274484804</v>
      </c>
      <c r="N906" s="304">
        <f t="shared" ca="1" si="423"/>
        <v>-87.35701448344453</v>
      </c>
      <c r="P906" s="310">
        <f t="shared" ca="1" si="424"/>
        <v>23</v>
      </c>
      <c r="Q906" s="304">
        <f t="shared" ca="1" si="425"/>
        <v>0</v>
      </c>
      <c r="R906" s="306">
        <f t="shared" ca="1" si="426"/>
        <v>0</v>
      </c>
      <c r="S906" s="307">
        <f t="shared" ca="1" si="427"/>
        <v>6.1519999999999921</v>
      </c>
      <c r="T906" s="304">
        <f t="shared" ca="1" si="407"/>
        <v>60.351119999999923</v>
      </c>
      <c r="U906" s="311">
        <f t="shared" ca="1" si="408"/>
        <v>0</v>
      </c>
      <c r="V906" s="306">
        <f t="shared" ca="1" si="409"/>
        <v>1.2255997088142832</v>
      </c>
      <c r="W906" s="304">
        <f t="shared" ca="1" si="410"/>
        <v>52.208419530355748</v>
      </c>
      <c r="Y906" s="314" t="str">
        <f t="shared" ca="1" si="428"/>
        <v/>
      </c>
      <c r="Z906" s="315" t="str">
        <f t="shared" ca="1" si="429"/>
        <v/>
      </c>
      <c r="AA906" s="316" t="str">
        <f t="shared" ca="1" si="430"/>
        <v/>
      </c>
      <c r="AC906" s="310" t="e">
        <f t="shared" ca="1" si="431"/>
        <v>#N/A</v>
      </c>
      <c r="AD906" s="323" t="e">
        <f t="shared" ca="1" si="432"/>
        <v>#N/A</v>
      </c>
      <c r="AE906" s="324" t="e">
        <f t="shared" ca="1" si="411"/>
        <v>#N/A</v>
      </c>
      <c r="AG906" s="306">
        <f t="shared" ca="1" si="433"/>
        <v>1.3131783691120322</v>
      </c>
      <c r="AH906" s="304">
        <f t="shared" ca="1" si="434"/>
        <v>-8.4863861466477335</v>
      </c>
    </row>
    <row r="907" spans="1:34" x14ac:dyDescent="0.2">
      <c r="A907" s="347">
        <f t="shared" ca="1" si="412"/>
        <v>1E-4</v>
      </c>
      <c r="B907" s="304">
        <f t="shared" ca="1" si="413"/>
        <v>41.412900000000704</v>
      </c>
      <c r="D907" s="306">
        <f t="shared" ca="1" si="414"/>
        <v>-0.3913292759139087</v>
      </c>
      <c r="E907" s="307">
        <f t="shared" ca="1" si="415"/>
        <v>-1.3326132777219879</v>
      </c>
      <c r="F907" s="304">
        <f t="shared" ca="1" si="416"/>
        <v>1.3888832744864645</v>
      </c>
      <c r="G907" s="306">
        <f t="shared" ca="1" si="417"/>
        <v>6.2289024993428441</v>
      </c>
      <c r="H907" s="307">
        <f t="shared" ca="1" si="418"/>
        <v>-134.93802402846578</v>
      </c>
      <c r="I907" s="304">
        <f t="shared" ca="1" si="419"/>
        <v>135.08171436228193</v>
      </c>
      <c r="J907" s="306">
        <f t="shared" ca="1" si="420"/>
        <v>568.62651553779426</v>
      </c>
      <c r="K907" s="307">
        <f t="shared" ca="1" si="421"/>
        <v>-4.9078779101745846</v>
      </c>
      <c r="L907" s="304">
        <f t="shared" ca="1" si="406"/>
        <v>568.64769535999574</v>
      </c>
      <c r="M907" s="306">
        <f t="shared" ca="1" si="422"/>
        <v>-1.5246678623295233</v>
      </c>
      <c r="N907" s="304">
        <f t="shared" ca="1" si="423"/>
        <v>-87.357033670714927</v>
      </c>
      <c r="P907" s="310">
        <f t="shared" ca="1" si="424"/>
        <v>23</v>
      </c>
      <c r="Q907" s="304">
        <f t="shared" ca="1" si="425"/>
        <v>0</v>
      </c>
      <c r="R907" s="306">
        <f t="shared" ca="1" si="426"/>
        <v>0</v>
      </c>
      <c r="S907" s="307">
        <f t="shared" ca="1" si="427"/>
        <v>6.1519999999999921</v>
      </c>
      <c r="T907" s="304">
        <f t="shared" ca="1" si="407"/>
        <v>60.351119999999923</v>
      </c>
      <c r="U907" s="311">
        <f t="shared" ca="1" si="408"/>
        <v>0</v>
      </c>
      <c r="V907" s="306">
        <f t="shared" ca="1" si="409"/>
        <v>1.2256013626147109</v>
      </c>
      <c r="W907" s="304">
        <f t="shared" ca="1" si="410"/>
        <v>52.208591484923076</v>
      </c>
      <c r="Y907" s="314" t="str">
        <f t="shared" ca="1" si="428"/>
        <v/>
      </c>
      <c r="Z907" s="315" t="str">
        <f t="shared" ca="1" si="429"/>
        <v/>
      </c>
      <c r="AA907" s="316" t="str">
        <f t="shared" ca="1" si="430"/>
        <v/>
      </c>
      <c r="AC907" s="310" t="e">
        <f t="shared" ca="1" si="431"/>
        <v>#N/A</v>
      </c>
      <c r="AD907" s="323" t="e">
        <f t="shared" ca="1" si="432"/>
        <v>#N/A</v>
      </c>
      <c r="AE907" s="324" t="e">
        <f t="shared" ca="1" si="411"/>
        <v>#N/A</v>
      </c>
      <c r="AG907" s="306">
        <f t="shared" ca="1" si="433"/>
        <v>1.3131505693371803</v>
      </c>
      <c r="AH907" s="304">
        <f t="shared" ca="1" si="434"/>
        <v>-8.4864140979121938</v>
      </c>
    </row>
    <row r="908" spans="1:34" x14ac:dyDescent="0.2">
      <c r="A908" s="347">
        <f t="shared" ca="1" si="412"/>
        <v>1E-4</v>
      </c>
      <c r="B908" s="304">
        <f t="shared" ca="1" si="413"/>
        <v>41.413000000000707</v>
      </c>
      <c r="D908" s="306">
        <f t="shared" ca="1" si="414"/>
        <v>-0.39132772587740466</v>
      </c>
      <c r="E908" s="307">
        <f t="shared" ca="1" si="415"/>
        <v>-1.3325852254035073</v>
      </c>
      <c r="F908" s="304">
        <f t="shared" ca="1" si="416"/>
        <v>1.3888559219746652</v>
      </c>
      <c r="G908" s="306">
        <f t="shared" ca="1" si="417"/>
        <v>6.2288633665702564</v>
      </c>
      <c r="H908" s="307">
        <f t="shared" ca="1" si="418"/>
        <v>-134.93815728698831</v>
      </c>
      <c r="I908" s="304">
        <f t="shared" ca="1" si="419"/>
        <v>135.08184567456649</v>
      </c>
      <c r="J908" s="306">
        <f t="shared" ca="1" si="420"/>
        <v>568.62651553779426</v>
      </c>
      <c r="K908" s="307">
        <f t="shared" ca="1" si="421"/>
        <v>-4.9213717192403577</v>
      </c>
      <c r="L908" s="304">
        <f t="shared" ca="1" si="406"/>
        <v>568.64781198229571</v>
      </c>
      <c r="M908" s="306">
        <f t="shared" ca="1" si="422"/>
        <v>-1.5246681972078113</v>
      </c>
      <c r="N908" s="304">
        <f t="shared" ca="1" si="423"/>
        <v>-87.357052857827469</v>
      </c>
      <c r="P908" s="310">
        <f t="shared" ca="1" si="424"/>
        <v>23</v>
      </c>
      <c r="Q908" s="304">
        <f t="shared" ca="1" si="425"/>
        <v>0</v>
      </c>
      <c r="R908" s="306">
        <f t="shared" ca="1" si="426"/>
        <v>0</v>
      </c>
      <c r="S908" s="307">
        <f t="shared" ca="1" si="427"/>
        <v>6.1519999999999921</v>
      </c>
      <c r="T908" s="304">
        <f t="shared" ca="1" si="407"/>
        <v>60.351119999999923</v>
      </c>
      <c r="U908" s="311">
        <f t="shared" ca="1" si="408"/>
        <v>0</v>
      </c>
      <c r="V908" s="306">
        <f t="shared" ca="1" si="409"/>
        <v>1.2256030164190044</v>
      </c>
      <c r="W908" s="304">
        <f t="shared" ca="1" si="410"/>
        <v>52.208763437878829</v>
      </c>
      <c r="Y908" s="314" t="str">
        <f t="shared" ca="1" si="428"/>
        <v/>
      </c>
      <c r="Z908" s="315" t="str">
        <f t="shared" ca="1" si="429"/>
        <v/>
      </c>
      <c r="AA908" s="316" t="str">
        <f t="shared" ca="1" si="430"/>
        <v/>
      </c>
      <c r="AC908" s="310" t="e">
        <f t="shared" ca="1" si="431"/>
        <v>#N/A</v>
      </c>
      <c r="AD908" s="323" t="e">
        <f t="shared" ca="1" si="432"/>
        <v>#N/A</v>
      </c>
      <c r="AE908" s="324" t="e">
        <f t="shared" ca="1" si="411"/>
        <v>#N/A</v>
      </c>
      <c r="AG908" s="306">
        <f t="shared" ca="1" si="433"/>
        <v>1.3131227698219501</v>
      </c>
      <c r="AH908" s="304">
        <f t="shared" ca="1" si="434"/>
        <v>-8.4864420489146859</v>
      </c>
    </row>
    <row r="909" spans="1:34" x14ac:dyDescent="0.2">
      <c r="A909" s="347">
        <f t="shared" ca="1" si="412"/>
        <v>1E-4</v>
      </c>
      <c r="B909" s="304">
        <f t="shared" ca="1" si="413"/>
        <v>41.413100000000711</v>
      </c>
      <c r="D909" s="306">
        <f t="shared" ca="1" si="414"/>
        <v>-0.39132617583343121</v>
      </c>
      <c r="E909" s="307">
        <f t="shared" ca="1" si="415"/>
        <v>-1.3325571733478743</v>
      </c>
      <c r="F909" s="304">
        <f t="shared" ca="1" si="416"/>
        <v>1.3888285697426066</v>
      </c>
      <c r="G909" s="306">
        <f t="shared" ca="1" si="417"/>
        <v>6.2288242339526727</v>
      </c>
      <c r="H909" s="307">
        <f t="shared" ca="1" si="418"/>
        <v>-134.93829054270566</v>
      </c>
      <c r="I909" s="304">
        <f t="shared" ca="1" si="419"/>
        <v>135.08197698407113</v>
      </c>
      <c r="J909" s="306">
        <f t="shared" ca="1" si="420"/>
        <v>568.62651553779426</v>
      </c>
      <c r="K909" s="307">
        <f t="shared" ca="1" si="421"/>
        <v>-4.9348655416318428</v>
      </c>
      <c r="L909" s="304">
        <f t="shared" ca="1" si="406"/>
        <v>568.64792892489049</v>
      </c>
      <c r="M909" s="306">
        <f t="shared" ca="1" si="422"/>
        <v>-1.5246685320833442</v>
      </c>
      <c r="N909" s="304">
        <f t="shared" ca="1" si="423"/>
        <v>-87.357072044782171</v>
      </c>
      <c r="P909" s="310">
        <f t="shared" ca="1" si="424"/>
        <v>23</v>
      </c>
      <c r="Q909" s="304">
        <f t="shared" ca="1" si="425"/>
        <v>0</v>
      </c>
      <c r="R909" s="306">
        <f t="shared" ca="1" si="426"/>
        <v>0</v>
      </c>
      <c r="S909" s="307">
        <f t="shared" ca="1" si="427"/>
        <v>6.1519999999999921</v>
      </c>
      <c r="T909" s="304">
        <f t="shared" ca="1" si="407"/>
        <v>60.351119999999923</v>
      </c>
      <c r="U909" s="311">
        <f t="shared" ca="1" si="408"/>
        <v>0</v>
      </c>
      <c r="V909" s="306">
        <f t="shared" ca="1" si="409"/>
        <v>1.2256046702271635</v>
      </c>
      <c r="W909" s="304">
        <f t="shared" ca="1" si="410"/>
        <v>52.208935389222972</v>
      </c>
      <c r="Y909" s="314" t="str">
        <f t="shared" ca="1" si="428"/>
        <v/>
      </c>
      <c r="Z909" s="315" t="str">
        <f t="shared" ca="1" si="429"/>
        <v/>
      </c>
      <c r="AA909" s="316" t="str">
        <f t="shared" ca="1" si="430"/>
        <v/>
      </c>
      <c r="AC909" s="310" t="e">
        <f t="shared" ca="1" si="431"/>
        <v>#N/A</v>
      </c>
      <c r="AD909" s="323" t="e">
        <f t="shared" ca="1" si="432"/>
        <v>#N/A</v>
      </c>
      <c r="AE909" s="324" t="e">
        <f t="shared" ca="1" si="411"/>
        <v>#N/A</v>
      </c>
      <c r="AG909" s="306">
        <f t="shared" ca="1" si="433"/>
        <v>1.3130949705663344</v>
      </c>
      <c r="AH909" s="304">
        <f t="shared" ca="1" si="434"/>
        <v>-8.4864699996552169</v>
      </c>
    </row>
    <row r="910" spans="1:34" x14ac:dyDescent="0.2">
      <c r="A910" s="347">
        <f t="shared" ca="1" si="412"/>
        <v>1E-4</v>
      </c>
      <c r="B910" s="304">
        <f t="shared" ca="1" si="413"/>
        <v>41.413200000000714</v>
      </c>
      <c r="D910" s="306">
        <f t="shared" ca="1" si="414"/>
        <v>-0.39132462578199051</v>
      </c>
      <c r="E910" s="307">
        <f t="shared" ca="1" si="415"/>
        <v>-1.3325291215550923</v>
      </c>
      <c r="F910" s="304">
        <f t="shared" ca="1" si="416"/>
        <v>1.3888012177902931</v>
      </c>
      <c r="G910" s="306">
        <f t="shared" ca="1" si="417"/>
        <v>6.2287851014900948</v>
      </c>
      <c r="H910" s="307">
        <f t="shared" ca="1" si="418"/>
        <v>-134.93842379561781</v>
      </c>
      <c r="I910" s="304">
        <f t="shared" ca="1" si="419"/>
        <v>135.08210829079587</v>
      </c>
      <c r="J910" s="306">
        <f t="shared" ca="1" si="420"/>
        <v>568.62651553779426</v>
      </c>
      <c r="K910" s="307">
        <f t="shared" ca="1" si="421"/>
        <v>-4.9483593773487593</v>
      </c>
      <c r="L910" s="304">
        <f t="shared" ca="1" si="406"/>
        <v>568.64804618778101</v>
      </c>
      <c r="M910" s="306">
        <f t="shared" ca="1" si="422"/>
        <v>-1.5246688669561224</v>
      </c>
      <c r="N910" s="304">
        <f t="shared" ca="1" si="423"/>
        <v>-87.357091231579034</v>
      </c>
      <c r="P910" s="310">
        <f t="shared" ca="1" si="424"/>
        <v>23</v>
      </c>
      <c r="Q910" s="304">
        <f t="shared" ca="1" si="425"/>
        <v>0</v>
      </c>
      <c r="R910" s="306">
        <f t="shared" ca="1" si="426"/>
        <v>0</v>
      </c>
      <c r="S910" s="307">
        <f t="shared" ca="1" si="427"/>
        <v>6.1519999999999921</v>
      </c>
      <c r="T910" s="304">
        <f t="shared" ca="1" si="407"/>
        <v>60.351119999999923</v>
      </c>
      <c r="U910" s="311">
        <f t="shared" ca="1" si="408"/>
        <v>0</v>
      </c>
      <c r="V910" s="306">
        <f t="shared" ca="1" si="409"/>
        <v>1.2256063240391875</v>
      </c>
      <c r="W910" s="304">
        <f t="shared" ca="1" si="410"/>
        <v>52.209107338955491</v>
      </c>
      <c r="Y910" s="314" t="str">
        <f t="shared" ca="1" si="428"/>
        <v/>
      </c>
      <c r="Z910" s="315" t="str">
        <f t="shared" ca="1" si="429"/>
        <v/>
      </c>
      <c r="AA910" s="316" t="str">
        <f t="shared" ca="1" si="430"/>
        <v/>
      </c>
      <c r="AC910" s="310" t="e">
        <f t="shared" ca="1" si="431"/>
        <v>#N/A</v>
      </c>
      <c r="AD910" s="323" t="e">
        <f t="shared" ca="1" si="432"/>
        <v>#N/A</v>
      </c>
      <c r="AE910" s="324" t="e">
        <f t="shared" ca="1" si="411"/>
        <v>#N/A</v>
      </c>
      <c r="AG910" s="306">
        <f t="shared" ca="1" si="433"/>
        <v>1.3130671715703404</v>
      </c>
      <c r="AH910" s="304">
        <f t="shared" ca="1" si="434"/>
        <v>-8.4864979501337832</v>
      </c>
    </row>
    <row r="911" spans="1:34" x14ac:dyDescent="0.2">
      <c r="A911" s="347">
        <f t="shared" ca="1" si="412"/>
        <v>1E-4</v>
      </c>
      <c r="B911" s="304">
        <f t="shared" ca="1" si="413"/>
        <v>41.413300000000717</v>
      </c>
      <c r="D911" s="306">
        <f t="shared" ca="1" si="414"/>
        <v>-0.39132307572307934</v>
      </c>
      <c r="E911" s="307">
        <f t="shared" ca="1" si="415"/>
        <v>-1.3325010700251632</v>
      </c>
      <c r="F911" s="304">
        <f t="shared" ca="1" si="416"/>
        <v>1.388773866117726</v>
      </c>
      <c r="G911" s="306">
        <f t="shared" ca="1" si="417"/>
        <v>6.2287459691825227</v>
      </c>
      <c r="H911" s="307">
        <f t="shared" ca="1" si="418"/>
        <v>-134.93855704572482</v>
      </c>
      <c r="I911" s="304">
        <f t="shared" ca="1" si="419"/>
        <v>135.08223959474071</v>
      </c>
      <c r="J911" s="306">
        <f t="shared" ca="1" si="420"/>
        <v>568.62651553779426</v>
      </c>
      <c r="K911" s="307">
        <f t="shared" ca="1" si="421"/>
        <v>-4.9618532263908266</v>
      </c>
      <c r="L911" s="304">
        <f t="shared" ca="1" si="406"/>
        <v>568.64816377096793</v>
      </c>
      <c r="M911" s="306">
        <f t="shared" ca="1" si="422"/>
        <v>-1.5246692018261456</v>
      </c>
      <c r="N911" s="304">
        <f t="shared" ca="1" si="423"/>
        <v>-87.357110418218056</v>
      </c>
      <c r="P911" s="310">
        <f t="shared" ca="1" si="424"/>
        <v>23</v>
      </c>
      <c r="Q911" s="304">
        <f t="shared" ca="1" si="425"/>
        <v>0</v>
      </c>
      <c r="R911" s="306">
        <f t="shared" ca="1" si="426"/>
        <v>0</v>
      </c>
      <c r="S911" s="307">
        <f t="shared" ca="1" si="427"/>
        <v>6.1519999999999921</v>
      </c>
      <c r="T911" s="304">
        <f t="shared" ca="1" si="407"/>
        <v>60.351119999999923</v>
      </c>
      <c r="U911" s="311">
        <f t="shared" ca="1" si="408"/>
        <v>0</v>
      </c>
      <c r="V911" s="306">
        <f t="shared" ca="1" si="409"/>
        <v>1.2256079778550772</v>
      </c>
      <c r="W911" s="304">
        <f t="shared" ca="1" si="410"/>
        <v>52.20927928707642</v>
      </c>
      <c r="Y911" s="314" t="str">
        <f t="shared" ca="1" si="428"/>
        <v/>
      </c>
      <c r="Z911" s="315" t="str">
        <f t="shared" ca="1" si="429"/>
        <v/>
      </c>
      <c r="AA911" s="316" t="str">
        <f t="shared" ca="1" si="430"/>
        <v/>
      </c>
      <c r="AC911" s="310" t="e">
        <f t="shared" ca="1" si="431"/>
        <v>#N/A</v>
      </c>
      <c r="AD911" s="323" t="e">
        <f t="shared" ca="1" si="432"/>
        <v>#N/A</v>
      </c>
      <c r="AE911" s="324" t="e">
        <f t="shared" ca="1" si="411"/>
        <v>#N/A</v>
      </c>
      <c r="AG911" s="306">
        <f t="shared" ca="1" si="433"/>
        <v>1.3130393728339662</v>
      </c>
      <c r="AH911" s="304">
        <f t="shared" ca="1" si="434"/>
        <v>-8.486525900350383</v>
      </c>
    </row>
    <row r="912" spans="1:34" x14ac:dyDescent="0.2">
      <c r="A912" s="347">
        <f t="shared" ca="1" si="412"/>
        <v>1E-4</v>
      </c>
      <c r="B912" s="304">
        <f t="shared" ca="1" si="413"/>
        <v>41.413400000000721</v>
      </c>
      <c r="D912" s="306">
        <f t="shared" ca="1" si="414"/>
        <v>-0.39132152565670014</v>
      </c>
      <c r="E912" s="307">
        <f t="shared" ca="1" si="415"/>
        <v>-1.3324730187580851</v>
      </c>
      <c r="F912" s="304">
        <f t="shared" ca="1" si="416"/>
        <v>1.3887465147249054</v>
      </c>
      <c r="G912" s="306">
        <f t="shared" ca="1" si="417"/>
        <v>6.2287068370299572</v>
      </c>
      <c r="H912" s="307">
        <f t="shared" ca="1" si="418"/>
        <v>-134.9386902930267</v>
      </c>
      <c r="I912" s="304">
        <f t="shared" ca="1" si="419"/>
        <v>135.08237089590574</v>
      </c>
      <c r="J912" s="306">
        <f t="shared" ca="1" si="420"/>
        <v>568.62651553779426</v>
      </c>
      <c r="K912" s="307">
        <f t="shared" ca="1" si="421"/>
        <v>-4.975347088757764</v>
      </c>
      <c r="L912" s="304">
        <f t="shared" ca="1" si="406"/>
        <v>568.64828167445205</v>
      </c>
      <c r="M912" s="306">
        <f t="shared" ca="1" si="422"/>
        <v>-1.5246695366934142</v>
      </c>
      <c r="N912" s="304">
        <f t="shared" ca="1" si="423"/>
        <v>-87.357129604699239</v>
      </c>
      <c r="P912" s="310">
        <f t="shared" ca="1" si="424"/>
        <v>23</v>
      </c>
      <c r="Q912" s="304">
        <f t="shared" ca="1" si="425"/>
        <v>0</v>
      </c>
      <c r="R912" s="306">
        <f t="shared" ca="1" si="426"/>
        <v>0</v>
      </c>
      <c r="S912" s="307">
        <f t="shared" ca="1" si="427"/>
        <v>6.1519999999999921</v>
      </c>
      <c r="T912" s="304">
        <f t="shared" ca="1" si="407"/>
        <v>60.351119999999923</v>
      </c>
      <c r="U912" s="311">
        <f t="shared" ca="1" si="408"/>
        <v>0</v>
      </c>
      <c r="V912" s="306">
        <f t="shared" ca="1" si="409"/>
        <v>1.2256096316748319</v>
      </c>
      <c r="W912" s="304">
        <f t="shared" ca="1" si="410"/>
        <v>52.209451233585774</v>
      </c>
      <c r="Y912" s="314" t="str">
        <f t="shared" ca="1" si="428"/>
        <v/>
      </c>
      <c r="Z912" s="315" t="str">
        <f t="shared" ca="1" si="429"/>
        <v/>
      </c>
      <c r="AA912" s="316" t="str">
        <f t="shared" ca="1" si="430"/>
        <v/>
      </c>
      <c r="AC912" s="310" t="e">
        <f t="shared" ca="1" si="431"/>
        <v>#N/A</v>
      </c>
      <c r="AD912" s="323" t="e">
        <f t="shared" ca="1" si="432"/>
        <v>#N/A</v>
      </c>
      <c r="AE912" s="324" t="e">
        <f t="shared" ca="1" si="411"/>
        <v>#N/A</v>
      </c>
      <c r="AG912" s="306">
        <f t="shared" ca="1" si="433"/>
        <v>1.3130115743572102</v>
      </c>
      <c r="AH912" s="304">
        <f t="shared" ca="1" si="434"/>
        <v>-8.48655385030502</v>
      </c>
    </row>
    <row r="913" spans="1:34" x14ac:dyDescent="0.2">
      <c r="A913" s="347">
        <f t="shared" ca="1" si="412"/>
        <v>1E-4</v>
      </c>
      <c r="B913" s="304">
        <f t="shared" ca="1" si="413"/>
        <v>41.413500000000724</v>
      </c>
      <c r="D913" s="306">
        <f t="shared" ca="1" si="414"/>
        <v>-0.39131997558285175</v>
      </c>
      <c r="E913" s="307">
        <f t="shared" ca="1" si="415"/>
        <v>-1.332444967753851</v>
      </c>
      <c r="F913" s="304">
        <f t="shared" ca="1" si="416"/>
        <v>1.3887191636118241</v>
      </c>
      <c r="G913" s="306">
        <f t="shared" ca="1" si="417"/>
        <v>6.2286677050323993</v>
      </c>
      <c r="H913" s="307">
        <f t="shared" ca="1" si="418"/>
        <v>-134.93882353752346</v>
      </c>
      <c r="I913" s="304">
        <f t="shared" ca="1" si="419"/>
        <v>135.08250219429092</v>
      </c>
      <c r="J913" s="306">
        <f t="shared" ca="1" si="420"/>
        <v>568.62651553779426</v>
      </c>
      <c r="K913" s="307">
        <f t="shared" ca="1" si="421"/>
        <v>-4.9888409644492917</v>
      </c>
      <c r="L913" s="304">
        <f t="shared" ca="1" si="406"/>
        <v>568.64839989823406</v>
      </c>
      <c r="M913" s="306">
        <f t="shared" ca="1" si="422"/>
        <v>-1.5246698715579277</v>
      </c>
      <c r="N913" s="304">
        <f t="shared" ca="1" si="423"/>
        <v>-87.357148791022567</v>
      </c>
      <c r="P913" s="310">
        <f t="shared" ca="1" si="424"/>
        <v>23</v>
      </c>
      <c r="Q913" s="304">
        <f t="shared" ca="1" si="425"/>
        <v>0</v>
      </c>
      <c r="R913" s="306">
        <f t="shared" ca="1" si="426"/>
        <v>0</v>
      </c>
      <c r="S913" s="307">
        <f t="shared" ca="1" si="427"/>
        <v>6.1519999999999921</v>
      </c>
      <c r="T913" s="304">
        <f t="shared" ca="1" si="407"/>
        <v>60.351119999999923</v>
      </c>
      <c r="U913" s="311">
        <f t="shared" ca="1" si="408"/>
        <v>0</v>
      </c>
      <c r="V913" s="306">
        <f t="shared" ca="1" si="409"/>
        <v>1.2256112854984518</v>
      </c>
      <c r="W913" s="304">
        <f t="shared" ca="1" si="410"/>
        <v>52.209623178483504</v>
      </c>
      <c r="Y913" s="314" t="str">
        <f t="shared" ca="1" si="428"/>
        <v/>
      </c>
      <c r="Z913" s="315" t="str">
        <f t="shared" ca="1" si="429"/>
        <v/>
      </c>
      <c r="AA913" s="316" t="str">
        <f t="shared" ca="1" si="430"/>
        <v/>
      </c>
      <c r="AC913" s="310" t="e">
        <f t="shared" ca="1" si="431"/>
        <v>#N/A</v>
      </c>
      <c r="AD913" s="323" t="e">
        <f t="shared" ca="1" si="432"/>
        <v>#N/A</v>
      </c>
      <c r="AE913" s="324" t="e">
        <f t="shared" ca="1" si="411"/>
        <v>#N/A</v>
      </c>
      <c r="AG913" s="306">
        <f t="shared" ca="1" si="433"/>
        <v>1.3129837761400669</v>
      </c>
      <c r="AH913" s="304">
        <f t="shared" ca="1" si="434"/>
        <v>-8.4865817999976993</v>
      </c>
    </row>
    <row r="914" spans="1:34" x14ac:dyDescent="0.2">
      <c r="A914" s="347">
        <f t="shared" ca="1" si="412"/>
        <v>1E-4</v>
      </c>
      <c r="B914" s="304">
        <f t="shared" ca="1" si="413"/>
        <v>41.413600000000727</v>
      </c>
      <c r="D914" s="306">
        <f t="shared" ca="1" si="414"/>
        <v>-0.39131842550153784</v>
      </c>
      <c r="E914" s="307">
        <f t="shared" ca="1" si="415"/>
        <v>-1.3324169170124733</v>
      </c>
      <c r="F914" s="304">
        <f t="shared" ca="1" si="416"/>
        <v>1.3886918127784966</v>
      </c>
      <c r="G914" s="306">
        <f t="shared" ca="1" si="417"/>
        <v>6.228628573189849</v>
      </c>
      <c r="H914" s="307">
        <f t="shared" ca="1" si="418"/>
        <v>-134.93895677921518</v>
      </c>
      <c r="I914" s="304">
        <f t="shared" ca="1" si="419"/>
        <v>135.08263348989632</v>
      </c>
      <c r="J914" s="306">
        <f t="shared" ca="1" si="420"/>
        <v>568.62651553779426</v>
      </c>
      <c r="K914" s="307">
        <f t="shared" ca="1" si="421"/>
        <v>-5.0023348534651291</v>
      </c>
      <c r="L914" s="304">
        <f t="shared" ca="1" si="406"/>
        <v>568.64851844231475</v>
      </c>
      <c r="M914" s="306">
        <f t="shared" ca="1" si="422"/>
        <v>-1.5246702064196866</v>
      </c>
      <c r="N914" s="304">
        <f t="shared" ca="1" si="423"/>
        <v>-87.357167977188084</v>
      </c>
      <c r="P914" s="310">
        <f t="shared" ca="1" si="424"/>
        <v>23</v>
      </c>
      <c r="Q914" s="304">
        <f t="shared" ca="1" si="425"/>
        <v>0</v>
      </c>
      <c r="R914" s="306">
        <f t="shared" ca="1" si="426"/>
        <v>0</v>
      </c>
      <c r="S914" s="307">
        <f t="shared" ca="1" si="427"/>
        <v>6.1519999999999921</v>
      </c>
      <c r="T914" s="304">
        <f t="shared" ca="1" si="407"/>
        <v>60.351119999999923</v>
      </c>
      <c r="U914" s="311">
        <f t="shared" ca="1" si="408"/>
        <v>0</v>
      </c>
      <c r="V914" s="306">
        <f t="shared" ca="1" si="409"/>
        <v>1.2256129393259374</v>
      </c>
      <c r="W914" s="304">
        <f t="shared" ca="1" si="410"/>
        <v>52.209795121769702</v>
      </c>
      <c r="Y914" s="314" t="str">
        <f t="shared" ca="1" si="428"/>
        <v/>
      </c>
      <c r="Z914" s="315" t="str">
        <f t="shared" ca="1" si="429"/>
        <v/>
      </c>
      <c r="AA914" s="316" t="str">
        <f t="shared" ca="1" si="430"/>
        <v/>
      </c>
      <c r="AC914" s="310" t="e">
        <f t="shared" ca="1" si="431"/>
        <v>#N/A</v>
      </c>
      <c r="AD914" s="323" t="e">
        <f t="shared" ca="1" si="432"/>
        <v>#N/A</v>
      </c>
      <c r="AE914" s="324" t="e">
        <f t="shared" ca="1" si="411"/>
        <v>#N/A</v>
      </c>
      <c r="AG914" s="306">
        <f t="shared" ca="1" si="433"/>
        <v>1.3129559781825488</v>
      </c>
      <c r="AH914" s="304">
        <f t="shared" ca="1" si="434"/>
        <v>-8.4866097494284087</v>
      </c>
    </row>
    <row r="915" spans="1:34" x14ac:dyDescent="0.2">
      <c r="A915" s="347">
        <f t="shared" ca="1" si="412"/>
        <v>1E-4</v>
      </c>
      <c r="B915" s="304">
        <f t="shared" ca="1" si="413"/>
        <v>41.41370000000073</v>
      </c>
      <c r="D915" s="306">
        <f t="shared" ca="1" si="414"/>
        <v>-0.39131687541275417</v>
      </c>
      <c r="E915" s="307">
        <f t="shared" ca="1" si="415"/>
        <v>-1.3323888665339343</v>
      </c>
      <c r="F915" s="304">
        <f t="shared" ca="1" si="416"/>
        <v>1.3886644622249045</v>
      </c>
      <c r="G915" s="306">
        <f t="shared" ca="1" si="417"/>
        <v>6.228589441502308</v>
      </c>
      <c r="H915" s="307">
        <f t="shared" ca="1" si="418"/>
        <v>-134.93909001810184</v>
      </c>
      <c r="I915" s="304">
        <f t="shared" ca="1" si="419"/>
        <v>135.08276478272194</v>
      </c>
      <c r="J915" s="306">
        <f t="shared" ca="1" si="420"/>
        <v>568.62651553779426</v>
      </c>
      <c r="K915" s="307">
        <f t="shared" ca="1" si="421"/>
        <v>-5.0158287558049945</v>
      </c>
      <c r="L915" s="304">
        <f t="shared" ca="1" si="406"/>
        <v>568.64863730669481</v>
      </c>
      <c r="M915" s="306">
        <f t="shared" ca="1" si="422"/>
        <v>-1.5246705412786909</v>
      </c>
      <c r="N915" s="304">
        <f t="shared" ca="1" si="423"/>
        <v>-87.357187163195761</v>
      </c>
      <c r="P915" s="310">
        <f t="shared" ca="1" si="424"/>
        <v>23</v>
      </c>
      <c r="Q915" s="304">
        <f t="shared" ca="1" si="425"/>
        <v>0</v>
      </c>
      <c r="R915" s="306">
        <f t="shared" ca="1" si="426"/>
        <v>0</v>
      </c>
      <c r="S915" s="307">
        <f t="shared" ca="1" si="427"/>
        <v>6.1519999999999921</v>
      </c>
      <c r="T915" s="304">
        <f t="shared" ca="1" si="407"/>
        <v>60.351119999999923</v>
      </c>
      <c r="U915" s="311">
        <f t="shared" ca="1" si="408"/>
        <v>0</v>
      </c>
      <c r="V915" s="306">
        <f t="shared" ca="1" si="409"/>
        <v>1.2256145931572877</v>
      </c>
      <c r="W915" s="304">
        <f t="shared" ca="1" si="410"/>
        <v>52.209967063444267</v>
      </c>
      <c r="Y915" s="314" t="str">
        <f t="shared" ca="1" si="428"/>
        <v/>
      </c>
      <c r="Z915" s="315" t="str">
        <f t="shared" ca="1" si="429"/>
        <v/>
      </c>
      <c r="AA915" s="316" t="str">
        <f t="shared" ca="1" si="430"/>
        <v/>
      </c>
      <c r="AC915" s="310" t="e">
        <f t="shared" ca="1" si="431"/>
        <v>#N/A</v>
      </c>
      <c r="AD915" s="323" t="e">
        <f t="shared" ca="1" si="432"/>
        <v>#N/A</v>
      </c>
      <c r="AE915" s="324" t="e">
        <f t="shared" ca="1" si="411"/>
        <v>#N/A</v>
      </c>
      <c r="AG915" s="306">
        <f t="shared" ca="1" si="433"/>
        <v>1.3129281804846382</v>
      </c>
      <c r="AH915" s="304">
        <f t="shared" ca="1" si="434"/>
        <v>-8.4866376985971659</v>
      </c>
    </row>
    <row r="916" spans="1:34" x14ac:dyDescent="0.2">
      <c r="A916" s="347">
        <f t="shared" ca="1" si="412"/>
        <v>1E-4</v>
      </c>
      <c r="B916" s="304">
        <f t="shared" ca="1" si="413"/>
        <v>41.413800000000734</v>
      </c>
      <c r="D916" s="306">
        <f t="shared" ca="1" si="414"/>
        <v>-0.39131532531650237</v>
      </c>
      <c r="E916" s="307">
        <f t="shared" ca="1" si="415"/>
        <v>-1.3323608163182517</v>
      </c>
      <c r="F916" s="304">
        <f t="shared" ca="1" si="416"/>
        <v>1.3886371119510663</v>
      </c>
      <c r="G916" s="306">
        <f t="shared" ca="1" si="417"/>
        <v>6.2285503099697763</v>
      </c>
      <c r="H916" s="307">
        <f t="shared" ca="1" si="418"/>
        <v>-134.93922325418347</v>
      </c>
      <c r="I916" s="304">
        <f t="shared" ca="1" si="419"/>
        <v>135.08289607276782</v>
      </c>
      <c r="J916" s="306">
        <f t="shared" ca="1" si="420"/>
        <v>568.62651553779426</v>
      </c>
      <c r="K916" s="307">
        <f t="shared" ca="1" si="421"/>
        <v>-5.0293226714686092</v>
      </c>
      <c r="L916" s="304">
        <f t="shared" ca="1" si="406"/>
        <v>568.64875649137502</v>
      </c>
      <c r="M916" s="306">
        <f t="shared" ca="1" si="422"/>
        <v>-1.5246708761349403</v>
      </c>
      <c r="N916" s="304">
        <f t="shared" ca="1" si="423"/>
        <v>-87.357206349045597</v>
      </c>
      <c r="P916" s="310">
        <f t="shared" ca="1" si="424"/>
        <v>23</v>
      </c>
      <c r="Q916" s="304">
        <f t="shared" ca="1" si="425"/>
        <v>0</v>
      </c>
      <c r="R916" s="306">
        <f t="shared" ca="1" si="426"/>
        <v>0</v>
      </c>
      <c r="S916" s="307">
        <f t="shared" ca="1" si="427"/>
        <v>6.1519999999999921</v>
      </c>
      <c r="T916" s="304">
        <f t="shared" ca="1" si="407"/>
        <v>60.351119999999923</v>
      </c>
      <c r="U916" s="311">
        <f t="shared" ca="1" si="408"/>
        <v>0</v>
      </c>
      <c r="V916" s="306">
        <f t="shared" ca="1" si="409"/>
        <v>1.2256162469925034</v>
      </c>
      <c r="W916" s="304">
        <f t="shared" ca="1" si="410"/>
        <v>52.210139003507294</v>
      </c>
      <c r="Y916" s="314" t="str">
        <f t="shared" ca="1" si="428"/>
        <v/>
      </c>
      <c r="Z916" s="315" t="str">
        <f t="shared" ca="1" si="429"/>
        <v/>
      </c>
      <c r="AA916" s="316" t="str">
        <f t="shared" ca="1" si="430"/>
        <v/>
      </c>
      <c r="AC916" s="310" t="e">
        <f t="shared" ca="1" si="431"/>
        <v>#N/A</v>
      </c>
      <c r="AD916" s="323" t="e">
        <f t="shared" ca="1" si="432"/>
        <v>#N/A</v>
      </c>
      <c r="AE916" s="324" t="e">
        <f t="shared" ca="1" si="411"/>
        <v>#N/A</v>
      </c>
      <c r="AG916" s="306">
        <f t="shared" ca="1" si="433"/>
        <v>1.3129003830463493</v>
      </c>
      <c r="AH916" s="304">
        <f t="shared" ca="1" si="434"/>
        <v>-8.4866656475039548</v>
      </c>
    </row>
    <row r="917" spans="1:34" x14ac:dyDescent="0.2">
      <c r="A917" s="347">
        <f t="shared" ca="1" si="412"/>
        <v>1E-4</v>
      </c>
      <c r="B917" s="304">
        <f t="shared" ca="1" si="413"/>
        <v>41.413900000000737</v>
      </c>
      <c r="D917" s="306">
        <f t="shared" ca="1" si="414"/>
        <v>-0.39131377521278549</v>
      </c>
      <c r="E917" s="307">
        <f t="shared" ca="1" si="415"/>
        <v>-1.3323327663654059</v>
      </c>
      <c r="F917" s="304">
        <f t="shared" ca="1" si="416"/>
        <v>1.3886097619569646</v>
      </c>
      <c r="G917" s="306">
        <f t="shared" ca="1" si="417"/>
        <v>6.2285111785922549</v>
      </c>
      <c r="H917" s="307">
        <f t="shared" ca="1" si="418"/>
        <v>-134.93935648746012</v>
      </c>
      <c r="I917" s="304">
        <f t="shared" ca="1" si="419"/>
        <v>135.08302736003401</v>
      </c>
      <c r="J917" s="306">
        <f t="shared" ca="1" si="420"/>
        <v>568.62651553779426</v>
      </c>
      <c r="K917" s="307">
        <f t="shared" ca="1" si="421"/>
        <v>-5.0428166004556916</v>
      </c>
      <c r="L917" s="304">
        <f t="shared" ca="1" si="406"/>
        <v>568.64887599635608</v>
      </c>
      <c r="M917" s="306">
        <f t="shared" ca="1" si="422"/>
        <v>-1.5246712109884353</v>
      </c>
      <c r="N917" s="304">
        <f t="shared" ca="1" si="423"/>
        <v>-87.357225534737609</v>
      </c>
      <c r="P917" s="310">
        <f t="shared" ca="1" si="424"/>
        <v>23</v>
      </c>
      <c r="Q917" s="304">
        <f t="shared" ca="1" si="425"/>
        <v>0</v>
      </c>
      <c r="R917" s="306">
        <f t="shared" ca="1" si="426"/>
        <v>0</v>
      </c>
      <c r="S917" s="307">
        <f t="shared" ca="1" si="427"/>
        <v>6.1519999999999921</v>
      </c>
      <c r="T917" s="304">
        <f t="shared" ca="1" si="407"/>
        <v>60.351119999999923</v>
      </c>
      <c r="U917" s="311">
        <f t="shared" ca="1" si="408"/>
        <v>0</v>
      </c>
      <c r="V917" s="306">
        <f t="shared" ca="1" si="409"/>
        <v>1.2256179008315846</v>
      </c>
      <c r="W917" s="304">
        <f t="shared" ca="1" si="410"/>
        <v>52.210310941958788</v>
      </c>
      <c r="Y917" s="314" t="str">
        <f t="shared" ca="1" si="428"/>
        <v/>
      </c>
      <c r="Z917" s="315" t="str">
        <f t="shared" ca="1" si="429"/>
        <v/>
      </c>
      <c r="AA917" s="316" t="str">
        <f t="shared" ca="1" si="430"/>
        <v/>
      </c>
      <c r="AC917" s="310" t="e">
        <f t="shared" ca="1" si="431"/>
        <v>#N/A</v>
      </c>
      <c r="AD917" s="323" t="e">
        <f t="shared" ca="1" si="432"/>
        <v>#N/A</v>
      </c>
      <c r="AE917" s="324" t="e">
        <f t="shared" ca="1" si="411"/>
        <v>#N/A</v>
      </c>
      <c r="AG917" s="306">
        <f t="shared" ca="1" si="433"/>
        <v>1.3128725858676695</v>
      </c>
      <c r="AH917" s="304">
        <f t="shared" ca="1" si="434"/>
        <v>-8.4866935961487915</v>
      </c>
    </row>
    <row r="918" spans="1:34" x14ac:dyDescent="0.2">
      <c r="A918" s="347">
        <f t="shared" ca="1" si="412"/>
        <v>1E-4</v>
      </c>
      <c r="B918" s="304">
        <f t="shared" ca="1" si="413"/>
        <v>41.41400000000074</v>
      </c>
      <c r="D918" s="306">
        <f t="shared" ca="1" si="414"/>
        <v>-0.39131222510160019</v>
      </c>
      <c r="E918" s="307">
        <f t="shared" ca="1" si="415"/>
        <v>-1.3323047166754023</v>
      </c>
      <c r="F918" s="304">
        <f t="shared" ca="1" si="416"/>
        <v>1.388582412242604</v>
      </c>
      <c r="G918" s="306">
        <f t="shared" ca="1" si="417"/>
        <v>6.2284720473697446</v>
      </c>
      <c r="H918" s="307">
        <f t="shared" ca="1" si="418"/>
        <v>-134.93948971793179</v>
      </c>
      <c r="I918" s="304">
        <f t="shared" ca="1" si="419"/>
        <v>135.08315864452047</v>
      </c>
      <c r="J918" s="306">
        <f t="shared" ca="1" si="420"/>
        <v>568.62651553779426</v>
      </c>
      <c r="K918" s="307">
        <f t="shared" ca="1" si="421"/>
        <v>-5.0563105427659609</v>
      </c>
      <c r="L918" s="304">
        <f t="shared" ca="1" si="406"/>
        <v>568.64899582163889</v>
      </c>
      <c r="M918" s="306">
        <f t="shared" ca="1" si="422"/>
        <v>-1.5246715458391755</v>
      </c>
      <c r="N918" s="304">
        <f t="shared" ca="1" si="423"/>
        <v>-87.357244720271794</v>
      </c>
      <c r="P918" s="310">
        <f t="shared" ca="1" si="424"/>
        <v>23</v>
      </c>
      <c r="Q918" s="304">
        <f t="shared" ca="1" si="425"/>
        <v>0</v>
      </c>
      <c r="R918" s="306">
        <f t="shared" ca="1" si="426"/>
        <v>0</v>
      </c>
      <c r="S918" s="307">
        <f t="shared" ca="1" si="427"/>
        <v>6.1519999999999921</v>
      </c>
      <c r="T918" s="304">
        <f t="shared" ca="1" si="407"/>
        <v>60.351119999999923</v>
      </c>
      <c r="U918" s="311">
        <f t="shared" ca="1" si="408"/>
        <v>0</v>
      </c>
      <c r="V918" s="306">
        <f t="shared" ca="1" si="409"/>
        <v>1.2256195546745305</v>
      </c>
      <c r="W918" s="304">
        <f t="shared" ca="1" si="410"/>
        <v>52.210482878798672</v>
      </c>
      <c r="Y918" s="314" t="str">
        <f t="shared" ca="1" si="428"/>
        <v/>
      </c>
      <c r="Z918" s="315" t="str">
        <f t="shared" ca="1" si="429"/>
        <v/>
      </c>
      <c r="AA918" s="316" t="str">
        <f t="shared" ca="1" si="430"/>
        <v/>
      </c>
      <c r="AC918" s="310" t="e">
        <f t="shared" ca="1" si="431"/>
        <v>#N/A</v>
      </c>
      <c r="AD918" s="323" t="e">
        <f t="shared" ca="1" si="432"/>
        <v>#N/A</v>
      </c>
      <c r="AE918" s="324" t="e">
        <f t="shared" ca="1" si="411"/>
        <v>#N/A</v>
      </c>
      <c r="AG918" s="306">
        <f t="shared" ca="1" si="433"/>
        <v>1.312844788948599</v>
      </c>
      <c r="AH918" s="304">
        <f t="shared" ca="1" si="434"/>
        <v>-8.4867215445316742</v>
      </c>
    </row>
    <row r="919" spans="1:34" x14ac:dyDescent="0.2">
      <c r="A919" s="347">
        <f t="shared" ca="1" si="412"/>
        <v>1E-4</v>
      </c>
      <c r="B919" s="304">
        <f t="shared" ca="1" si="413"/>
        <v>41.414100000000744</v>
      </c>
      <c r="D919" s="306">
        <f t="shared" ca="1" si="414"/>
        <v>-0.39131067498294836</v>
      </c>
      <c r="E919" s="307">
        <f t="shared" ca="1" si="415"/>
        <v>-1.3322766672482533</v>
      </c>
      <c r="F919" s="304">
        <f t="shared" ca="1" si="416"/>
        <v>1.3885550628079981</v>
      </c>
      <c r="G919" s="306">
        <f t="shared" ca="1" si="417"/>
        <v>6.2284329163022463</v>
      </c>
      <c r="H919" s="307">
        <f t="shared" ca="1" si="418"/>
        <v>-134.93962294559853</v>
      </c>
      <c r="I919" s="304">
        <f t="shared" ca="1" si="419"/>
        <v>135.08328992622728</v>
      </c>
      <c r="J919" s="306">
        <f t="shared" ca="1" si="420"/>
        <v>568.62651553779426</v>
      </c>
      <c r="K919" s="307">
        <f t="shared" ca="1" si="421"/>
        <v>-5.0698044983991375</v>
      </c>
      <c r="L919" s="304">
        <f t="shared" ca="1" si="406"/>
        <v>568.64911596722391</v>
      </c>
      <c r="M919" s="306">
        <f t="shared" ca="1" si="422"/>
        <v>-1.5246718806871611</v>
      </c>
      <c r="N919" s="304">
        <f t="shared" ca="1" si="423"/>
        <v>-87.357263905648139</v>
      </c>
      <c r="P919" s="310">
        <f t="shared" ca="1" si="424"/>
        <v>23</v>
      </c>
      <c r="Q919" s="304">
        <f t="shared" ca="1" si="425"/>
        <v>0</v>
      </c>
      <c r="R919" s="306">
        <f t="shared" ca="1" si="426"/>
        <v>0</v>
      </c>
      <c r="S919" s="307">
        <f t="shared" ca="1" si="427"/>
        <v>6.1519999999999921</v>
      </c>
      <c r="T919" s="304">
        <f t="shared" ca="1" si="407"/>
        <v>60.351119999999923</v>
      </c>
      <c r="U919" s="311">
        <f t="shared" ca="1" si="408"/>
        <v>0</v>
      </c>
      <c r="V919" s="306">
        <f t="shared" ca="1" si="409"/>
        <v>1.2256212085213416</v>
      </c>
      <c r="W919" s="304">
        <f t="shared" ca="1" si="410"/>
        <v>52.210654814027031</v>
      </c>
      <c r="Y919" s="314" t="str">
        <f t="shared" ca="1" si="428"/>
        <v/>
      </c>
      <c r="Z919" s="315" t="str">
        <f t="shared" ca="1" si="429"/>
        <v/>
      </c>
      <c r="AA919" s="316" t="str">
        <f t="shared" ca="1" si="430"/>
        <v/>
      </c>
      <c r="AC919" s="310" t="e">
        <f t="shared" ca="1" si="431"/>
        <v>#N/A</v>
      </c>
      <c r="AD919" s="323" t="e">
        <f t="shared" ca="1" si="432"/>
        <v>#N/A</v>
      </c>
      <c r="AE919" s="324" t="e">
        <f t="shared" ca="1" si="411"/>
        <v>#N/A</v>
      </c>
      <c r="AG919" s="306">
        <f t="shared" ca="1" si="433"/>
        <v>1.3128169922891484</v>
      </c>
      <c r="AH919" s="304">
        <f t="shared" ca="1" si="434"/>
        <v>-8.4867494926525904</v>
      </c>
    </row>
    <row r="920" spans="1:34" x14ac:dyDescent="0.2">
      <c r="A920" s="347">
        <f t="shared" ca="1" si="412"/>
        <v>1E-4</v>
      </c>
      <c r="B920" s="304">
        <f t="shared" ca="1" si="413"/>
        <v>41.414200000000747</v>
      </c>
      <c r="D920" s="306">
        <f t="shared" ca="1" si="414"/>
        <v>-0.39130912485683117</v>
      </c>
      <c r="E920" s="307">
        <f t="shared" ca="1" si="415"/>
        <v>-1.3322486180839412</v>
      </c>
      <c r="F920" s="304">
        <f t="shared" ca="1" si="416"/>
        <v>1.3885277136531307</v>
      </c>
      <c r="G920" s="306">
        <f t="shared" ca="1" si="417"/>
        <v>6.2283937853897609</v>
      </c>
      <c r="H920" s="307">
        <f t="shared" ca="1" si="418"/>
        <v>-134.93975617046033</v>
      </c>
      <c r="I920" s="304">
        <f t="shared" ca="1" si="419"/>
        <v>135.08342120515445</v>
      </c>
      <c r="J920" s="306">
        <f t="shared" ca="1" si="420"/>
        <v>568.62651553779426</v>
      </c>
      <c r="K920" s="307">
        <f t="shared" ca="1" si="421"/>
        <v>-5.0832984673549406</v>
      </c>
      <c r="L920" s="304">
        <f t="shared" ca="1" si="406"/>
        <v>568.64923643311226</v>
      </c>
      <c r="M920" s="306">
        <f t="shared" ca="1" si="422"/>
        <v>-1.5246722155323922</v>
      </c>
      <c r="N920" s="304">
        <f t="shared" ca="1" si="423"/>
        <v>-87.357283090866673</v>
      </c>
      <c r="P920" s="310">
        <f t="shared" ca="1" si="424"/>
        <v>23</v>
      </c>
      <c r="Q920" s="304">
        <f t="shared" ca="1" si="425"/>
        <v>0</v>
      </c>
      <c r="R920" s="306">
        <f t="shared" ca="1" si="426"/>
        <v>0</v>
      </c>
      <c r="S920" s="307">
        <f t="shared" ca="1" si="427"/>
        <v>6.1519999999999921</v>
      </c>
      <c r="T920" s="304">
        <f t="shared" ca="1" si="407"/>
        <v>60.351119999999923</v>
      </c>
      <c r="U920" s="311">
        <f t="shared" ca="1" si="408"/>
        <v>0</v>
      </c>
      <c r="V920" s="306">
        <f t="shared" ca="1" si="409"/>
        <v>1.225622862372018</v>
      </c>
      <c r="W920" s="304">
        <f t="shared" ca="1" si="410"/>
        <v>52.210826747643821</v>
      </c>
      <c r="Y920" s="314" t="str">
        <f t="shared" ca="1" si="428"/>
        <v/>
      </c>
      <c r="Z920" s="315" t="str">
        <f t="shared" ca="1" si="429"/>
        <v/>
      </c>
      <c r="AA920" s="316" t="str">
        <f t="shared" ca="1" si="430"/>
        <v/>
      </c>
      <c r="AC920" s="310" t="e">
        <f t="shared" ca="1" si="431"/>
        <v>#N/A</v>
      </c>
      <c r="AD920" s="323" t="e">
        <f t="shared" ca="1" si="432"/>
        <v>#N/A</v>
      </c>
      <c r="AE920" s="324" t="e">
        <f t="shared" ca="1" si="411"/>
        <v>#N/A</v>
      </c>
      <c r="AG920" s="306">
        <f t="shared" ca="1" si="433"/>
        <v>1.3127891958893052</v>
      </c>
      <c r="AH920" s="304">
        <f t="shared" ca="1" si="434"/>
        <v>-8.4867774405115561</v>
      </c>
    </row>
    <row r="921" spans="1:34" x14ac:dyDescent="0.2">
      <c r="A921" s="347">
        <f t="shared" ca="1" si="412"/>
        <v>1E-4</v>
      </c>
      <c r="B921" s="304">
        <f t="shared" ca="1" si="413"/>
        <v>41.41430000000075</v>
      </c>
      <c r="D921" s="306">
        <f t="shared" ca="1" si="414"/>
        <v>-0.39130757472324684</v>
      </c>
      <c r="E921" s="307">
        <f t="shared" ca="1" si="415"/>
        <v>-1.3322205691824731</v>
      </c>
      <c r="F921" s="304">
        <f t="shared" ca="1" si="416"/>
        <v>1.3885003647780083</v>
      </c>
      <c r="G921" s="306">
        <f t="shared" ca="1" si="417"/>
        <v>6.2283546546322883</v>
      </c>
      <c r="H921" s="307">
        <f t="shared" ca="1" si="418"/>
        <v>-134.93988939251724</v>
      </c>
      <c r="I921" s="304">
        <f t="shared" ca="1" si="419"/>
        <v>135.08355248130198</v>
      </c>
      <c r="J921" s="306">
        <f t="shared" ca="1" si="420"/>
        <v>568.62651553779426</v>
      </c>
      <c r="K921" s="307">
        <f t="shared" ca="1" si="421"/>
        <v>-5.0967924496330896</v>
      </c>
      <c r="L921" s="304">
        <f t="shared" ca="1" si="406"/>
        <v>568.64935721930431</v>
      </c>
      <c r="M921" s="306">
        <f t="shared" ca="1" si="422"/>
        <v>-1.5246725503748688</v>
      </c>
      <c r="N921" s="304">
        <f t="shared" ca="1" si="423"/>
        <v>-87.357302275927381</v>
      </c>
      <c r="P921" s="310">
        <f t="shared" ca="1" si="424"/>
        <v>23</v>
      </c>
      <c r="Q921" s="304">
        <f t="shared" ca="1" si="425"/>
        <v>0</v>
      </c>
      <c r="R921" s="306">
        <f t="shared" ca="1" si="426"/>
        <v>0</v>
      </c>
      <c r="S921" s="307">
        <f t="shared" ca="1" si="427"/>
        <v>6.1519999999999921</v>
      </c>
      <c r="T921" s="304">
        <f t="shared" ca="1" si="407"/>
        <v>60.351119999999923</v>
      </c>
      <c r="U921" s="311">
        <f t="shared" ca="1" si="408"/>
        <v>0</v>
      </c>
      <c r="V921" s="306">
        <f t="shared" ca="1" si="409"/>
        <v>1.2256245162265595</v>
      </c>
      <c r="W921" s="304">
        <f t="shared" ca="1" si="410"/>
        <v>52.210998679649073</v>
      </c>
      <c r="Y921" s="314" t="str">
        <f t="shared" ca="1" si="428"/>
        <v/>
      </c>
      <c r="Z921" s="315" t="str">
        <f t="shared" ca="1" si="429"/>
        <v/>
      </c>
      <c r="AA921" s="316" t="str">
        <f t="shared" ca="1" si="430"/>
        <v/>
      </c>
      <c r="AC921" s="310" t="e">
        <f t="shared" ca="1" si="431"/>
        <v>#N/A</v>
      </c>
      <c r="AD921" s="323" t="e">
        <f t="shared" ca="1" si="432"/>
        <v>#N/A</v>
      </c>
      <c r="AE921" s="324" t="e">
        <f t="shared" ca="1" si="411"/>
        <v>#N/A</v>
      </c>
      <c r="AG921" s="306">
        <f t="shared" ca="1" si="433"/>
        <v>1.3127613997490748</v>
      </c>
      <c r="AH921" s="304">
        <f t="shared" ca="1" si="434"/>
        <v>-8.4868053881085643</v>
      </c>
    </row>
    <row r="922" spans="1:34" x14ac:dyDescent="0.2">
      <c r="A922" s="347">
        <f t="shared" ca="1" si="412"/>
        <v>1E-4</v>
      </c>
      <c r="B922" s="304">
        <f t="shared" ca="1" si="413"/>
        <v>41.414400000000754</v>
      </c>
      <c r="D922" s="306">
        <f t="shared" ca="1" si="414"/>
        <v>-0.3913060245821961</v>
      </c>
      <c r="E922" s="307">
        <f t="shared" ca="1" si="415"/>
        <v>-1.3321925205438454</v>
      </c>
      <c r="F922" s="304">
        <f t="shared" ca="1" si="416"/>
        <v>1.3884730161826286</v>
      </c>
      <c r="G922" s="306">
        <f t="shared" ca="1" si="417"/>
        <v>6.2283155240298305</v>
      </c>
      <c r="H922" s="307">
        <f t="shared" ca="1" si="418"/>
        <v>-134.94002261176931</v>
      </c>
      <c r="I922" s="304">
        <f t="shared" ca="1" si="419"/>
        <v>135.08368375466995</v>
      </c>
      <c r="J922" s="306">
        <f t="shared" ca="1" si="420"/>
        <v>568.62651553779426</v>
      </c>
      <c r="K922" s="307">
        <f t="shared" ca="1" si="421"/>
        <v>-5.1102864452333039</v>
      </c>
      <c r="L922" s="304">
        <f t="shared" ca="1" si="406"/>
        <v>568.64947832580106</v>
      </c>
      <c r="M922" s="306">
        <f t="shared" ca="1" si="422"/>
        <v>-1.524672885214591</v>
      </c>
      <c r="N922" s="304">
        <f t="shared" ca="1" si="423"/>
        <v>-87.357321460830278</v>
      </c>
      <c r="P922" s="310">
        <f t="shared" ca="1" si="424"/>
        <v>23</v>
      </c>
      <c r="Q922" s="304">
        <f t="shared" ca="1" si="425"/>
        <v>0</v>
      </c>
      <c r="R922" s="306">
        <f t="shared" ca="1" si="426"/>
        <v>0</v>
      </c>
      <c r="S922" s="307">
        <f t="shared" ca="1" si="427"/>
        <v>6.1519999999999921</v>
      </c>
      <c r="T922" s="304">
        <f t="shared" ca="1" si="407"/>
        <v>60.351119999999923</v>
      </c>
      <c r="U922" s="311">
        <f t="shared" ca="1" si="408"/>
        <v>0</v>
      </c>
      <c r="V922" s="306">
        <f t="shared" ca="1" si="409"/>
        <v>1.225626170084966</v>
      </c>
      <c r="W922" s="304">
        <f t="shared" ca="1" si="410"/>
        <v>52.211170610042799</v>
      </c>
      <c r="Y922" s="314" t="str">
        <f t="shared" ca="1" si="428"/>
        <v/>
      </c>
      <c r="Z922" s="315" t="str">
        <f t="shared" ca="1" si="429"/>
        <v/>
      </c>
      <c r="AA922" s="316" t="str">
        <f t="shared" ca="1" si="430"/>
        <v/>
      </c>
      <c r="AC922" s="310" t="e">
        <f t="shared" ca="1" si="431"/>
        <v>#N/A</v>
      </c>
      <c r="AD922" s="323" t="e">
        <f t="shared" ca="1" si="432"/>
        <v>#N/A</v>
      </c>
      <c r="AE922" s="324" t="e">
        <f t="shared" ca="1" si="411"/>
        <v>#N/A</v>
      </c>
      <c r="AG922" s="306">
        <f t="shared" ca="1" si="433"/>
        <v>1.3127336038684536</v>
      </c>
      <c r="AH922" s="304">
        <f t="shared" ca="1" si="434"/>
        <v>-8.4868333354436185</v>
      </c>
    </row>
    <row r="923" spans="1:34" x14ac:dyDescent="0.2">
      <c r="A923" s="347">
        <f t="shared" ca="1" si="412"/>
        <v>1E-4</v>
      </c>
      <c r="B923" s="304">
        <f t="shared" ca="1" si="413"/>
        <v>41.414500000000757</v>
      </c>
      <c r="D923" s="306">
        <f t="shared" ca="1" si="414"/>
        <v>-0.39130447443367949</v>
      </c>
      <c r="E923" s="307">
        <f t="shared" ca="1" si="415"/>
        <v>-1.3321644721680563</v>
      </c>
      <c r="F923" s="304">
        <f t="shared" ca="1" si="416"/>
        <v>1.388445667866991</v>
      </c>
      <c r="G923" s="306">
        <f t="shared" ca="1" si="417"/>
        <v>6.2282763935823873</v>
      </c>
      <c r="H923" s="307">
        <f t="shared" ca="1" si="418"/>
        <v>-134.94015582821652</v>
      </c>
      <c r="I923" s="304">
        <f t="shared" ca="1" si="419"/>
        <v>135.08381502525833</v>
      </c>
      <c r="J923" s="306">
        <f t="shared" ca="1" si="420"/>
        <v>568.62651553779426</v>
      </c>
      <c r="K923" s="307">
        <f t="shared" ca="1" si="421"/>
        <v>-5.1237804541553036</v>
      </c>
      <c r="L923" s="304">
        <f t="shared" ca="1" si="406"/>
        <v>568.64959975260308</v>
      </c>
      <c r="M923" s="306">
        <f t="shared" ca="1" si="422"/>
        <v>-1.5246732200515585</v>
      </c>
      <c r="N923" s="304">
        <f t="shared" ca="1" si="423"/>
        <v>-87.357340645575334</v>
      </c>
      <c r="P923" s="310">
        <f t="shared" ca="1" si="424"/>
        <v>23</v>
      </c>
      <c r="Q923" s="304">
        <f t="shared" ca="1" si="425"/>
        <v>0</v>
      </c>
      <c r="R923" s="306">
        <f t="shared" ca="1" si="426"/>
        <v>0</v>
      </c>
      <c r="S923" s="307">
        <f t="shared" ca="1" si="427"/>
        <v>6.1519999999999921</v>
      </c>
      <c r="T923" s="304">
        <f t="shared" ca="1" si="407"/>
        <v>60.351119999999923</v>
      </c>
      <c r="U923" s="311">
        <f t="shared" ca="1" si="408"/>
        <v>0</v>
      </c>
      <c r="V923" s="306">
        <f t="shared" ca="1" si="409"/>
        <v>1.2256278239472376</v>
      </c>
      <c r="W923" s="304">
        <f t="shared" ca="1" si="410"/>
        <v>52.211342538824979</v>
      </c>
      <c r="Y923" s="314" t="str">
        <f t="shared" ca="1" si="428"/>
        <v/>
      </c>
      <c r="Z923" s="315" t="str">
        <f t="shared" ca="1" si="429"/>
        <v/>
      </c>
      <c r="AA923" s="316" t="str">
        <f t="shared" ca="1" si="430"/>
        <v/>
      </c>
      <c r="AC923" s="310" t="e">
        <f t="shared" ca="1" si="431"/>
        <v>#N/A</v>
      </c>
      <c r="AD923" s="323" t="e">
        <f t="shared" ca="1" si="432"/>
        <v>#N/A</v>
      </c>
      <c r="AE923" s="324" t="e">
        <f t="shared" ca="1" si="411"/>
        <v>#N/A</v>
      </c>
      <c r="AG923" s="306">
        <f t="shared" ca="1" si="433"/>
        <v>1.3127058082474399</v>
      </c>
      <c r="AH923" s="304">
        <f t="shared" ca="1" si="434"/>
        <v>-8.4868612825167205</v>
      </c>
    </row>
    <row r="924" spans="1:34" x14ac:dyDescent="0.2">
      <c r="A924" s="347">
        <f t="shared" ca="1" si="412"/>
        <v>1E-4</v>
      </c>
      <c r="B924" s="304">
        <f t="shared" ca="1" si="413"/>
        <v>41.41460000000076</v>
      </c>
      <c r="D924" s="306">
        <f t="shared" ca="1" si="414"/>
        <v>-0.39130292427769936</v>
      </c>
      <c r="E924" s="307">
        <f t="shared" ca="1" si="415"/>
        <v>-1.3321364240551095</v>
      </c>
      <c r="F924" s="304">
        <f t="shared" ca="1" si="416"/>
        <v>1.3884183198310995</v>
      </c>
      <c r="G924" s="306">
        <f t="shared" ca="1" si="417"/>
        <v>6.2282372632899596</v>
      </c>
      <c r="H924" s="307">
        <f t="shared" ca="1" si="418"/>
        <v>-134.94028904185893</v>
      </c>
      <c r="I924" s="304">
        <f t="shared" ca="1" si="419"/>
        <v>135.08394629306721</v>
      </c>
      <c r="J924" s="306">
        <f t="shared" ca="1" si="420"/>
        <v>568.62651553779426</v>
      </c>
      <c r="K924" s="307">
        <f t="shared" ca="1" si="421"/>
        <v>-5.1372744763988072</v>
      </c>
      <c r="L924" s="304">
        <f t="shared" ca="1" si="406"/>
        <v>568.64972149971129</v>
      </c>
      <c r="M924" s="306">
        <f t="shared" ca="1" si="422"/>
        <v>-1.5246735548857717</v>
      </c>
      <c r="N924" s="304">
        <f t="shared" ca="1" si="423"/>
        <v>-87.357359830162594</v>
      </c>
      <c r="P924" s="310">
        <f t="shared" ca="1" si="424"/>
        <v>23</v>
      </c>
      <c r="Q924" s="304">
        <f t="shared" ca="1" si="425"/>
        <v>0</v>
      </c>
      <c r="R924" s="306">
        <f t="shared" ca="1" si="426"/>
        <v>0</v>
      </c>
      <c r="S924" s="307">
        <f t="shared" ca="1" si="427"/>
        <v>6.1519999999999921</v>
      </c>
      <c r="T924" s="304">
        <f t="shared" ca="1" si="407"/>
        <v>60.351119999999923</v>
      </c>
      <c r="U924" s="311">
        <f t="shared" ca="1" si="408"/>
        <v>0</v>
      </c>
      <c r="V924" s="306">
        <f t="shared" ca="1" si="409"/>
        <v>1.2256294778133741</v>
      </c>
      <c r="W924" s="304">
        <f t="shared" ca="1" si="410"/>
        <v>52.211514465995656</v>
      </c>
      <c r="Y924" s="314" t="str">
        <f t="shared" ca="1" si="428"/>
        <v/>
      </c>
      <c r="Z924" s="315" t="str">
        <f t="shared" ca="1" si="429"/>
        <v/>
      </c>
      <c r="AA924" s="316" t="str">
        <f t="shared" ca="1" si="430"/>
        <v/>
      </c>
      <c r="AC924" s="310" t="e">
        <f t="shared" ca="1" si="431"/>
        <v>#N/A</v>
      </c>
      <c r="AD924" s="323" t="e">
        <f t="shared" ca="1" si="432"/>
        <v>#N/A</v>
      </c>
      <c r="AE924" s="324" t="e">
        <f t="shared" ca="1" si="411"/>
        <v>#N/A</v>
      </c>
      <c r="AG924" s="306">
        <f t="shared" ca="1" si="433"/>
        <v>1.3126780128860354</v>
      </c>
      <c r="AH924" s="304">
        <f t="shared" ca="1" si="434"/>
        <v>-8.4868892293278684</v>
      </c>
    </row>
    <row r="925" spans="1:34" x14ac:dyDescent="0.2">
      <c r="A925" s="347">
        <f t="shared" ca="1" si="412"/>
        <v>1E-4</v>
      </c>
      <c r="B925" s="304">
        <f t="shared" ca="1" si="413"/>
        <v>41.414700000000764</v>
      </c>
      <c r="D925" s="306">
        <f t="shared" ca="1" si="414"/>
        <v>-0.39130137411425264</v>
      </c>
      <c r="E925" s="307">
        <f t="shared" ca="1" si="415"/>
        <v>-1.3321083762049959</v>
      </c>
      <c r="F925" s="304">
        <f t="shared" ca="1" si="416"/>
        <v>1.3883909720749459</v>
      </c>
      <c r="G925" s="306">
        <f t="shared" ca="1" si="417"/>
        <v>6.2281981331525484</v>
      </c>
      <c r="H925" s="307">
        <f t="shared" ca="1" si="418"/>
        <v>-134.94042225269655</v>
      </c>
      <c r="I925" s="304">
        <f t="shared" ca="1" si="419"/>
        <v>135.08407755809657</v>
      </c>
      <c r="J925" s="306">
        <f t="shared" ca="1" si="420"/>
        <v>568.62651553779426</v>
      </c>
      <c r="K925" s="307">
        <f t="shared" ca="1" si="421"/>
        <v>-5.1507685119635349</v>
      </c>
      <c r="L925" s="304">
        <f t="shared" ca="1" si="406"/>
        <v>568.64984356712625</v>
      </c>
      <c r="M925" s="306">
        <f t="shared" ca="1" si="422"/>
        <v>-1.5246738897172305</v>
      </c>
      <c r="N925" s="304">
        <f t="shared" ca="1" si="423"/>
        <v>-87.357379014592027</v>
      </c>
      <c r="P925" s="310">
        <f t="shared" ca="1" si="424"/>
        <v>23</v>
      </c>
      <c r="Q925" s="304">
        <f t="shared" ca="1" si="425"/>
        <v>0</v>
      </c>
      <c r="R925" s="306">
        <f t="shared" ca="1" si="426"/>
        <v>0</v>
      </c>
      <c r="S925" s="307">
        <f t="shared" ca="1" si="427"/>
        <v>6.1519999999999921</v>
      </c>
      <c r="T925" s="304">
        <f t="shared" ca="1" si="407"/>
        <v>60.351119999999923</v>
      </c>
      <c r="U925" s="311">
        <f t="shared" ca="1" si="408"/>
        <v>0</v>
      </c>
      <c r="V925" s="306">
        <f t="shared" ca="1" si="409"/>
        <v>1.2256311316833759</v>
      </c>
      <c r="W925" s="304">
        <f t="shared" ca="1" si="410"/>
        <v>52.211686391554807</v>
      </c>
      <c r="Y925" s="314" t="str">
        <f t="shared" ca="1" si="428"/>
        <v/>
      </c>
      <c r="Z925" s="315" t="str">
        <f t="shared" ca="1" si="429"/>
        <v/>
      </c>
      <c r="AA925" s="316" t="str">
        <f t="shared" ca="1" si="430"/>
        <v/>
      </c>
      <c r="AC925" s="310" t="e">
        <f t="shared" ca="1" si="431"/>
        <v>#N/A</v>
      </c>
      <c r="AD925" s="323" t="e">
        <f t="shared" ca="1" si="432"/>
        <v>#N/A</v>
      </c>
      <c r="AE925" s="324" t="e">
        <f t="shared" ca="1" si="411"/>
        <v>#N/A</v>
      </c>
      <c r="AG925" s="306">
        <f t="shared" ca="1" si="433"/>
        <v>1.3126502177842365</v>
      </c>
      <c r="AH925" s="304">
        <f t="shared" ca="1" si="434"/>
        <v>-8.4869171758770676</v>
      </c>
    </row>
    <row r="926" spans="1:34" x14ac:dyDescent="0.2">
      <c r="A926" s="347">
        <f t="shared" ca="1" si="412"/>
        <v>1E-4</v>
      </c>
      <c r="B926" s="304">
        <f t="shared" ca="1" si="413"/>
        <v>41.414800000000767</v>
      </c>
      <c r="D926" s="306">
        <f t="shared" ca="1" si="414"/>
        <v>-0.39129982394334167</v>
      </c>
      <c r="E926" s="307">
        <f t="shared" ca="1" si="415"/>
        <v>-1.3320803286177227</v>
      </c>
      <c r="F926" s="304">
        <f t="shared" ca="1" si="416"/>
        <v>1.3883636245985382</v>
      </c>
      <c r="G926" s="306">
        <f t="shared" ca="1" si="417"/>
        <v>6.2281590031701537</v>
      </c>
      <c r="H926" s="307">
        <f t="shared" ca="1" si="418"/>
        <v>-134.9405554607294</v>
      </c>
      <c r="I926" s="304">
        <f t="shared" ca="1" si="419"/>
        <v>135.08420882034642</v>
      </c>
      <c r="J926" s="306">
        <f t="shared" ca="1" si="420"/>
        <v>568.62651553779426</v>
      </c>
      <c r="K926" s="307">
        <f t="shared" ca="1" si="421"/>
        <v>-5.1642625608492061</v>
      </c>
      <c r="L926" s="304">
        <f t="shared" ca="1" si="406"/>
        <v>568.64996595484888</v>
      </c>
      <c r="M926" s="306">
        <f t="shared" ca="1" si="422"/>
        <v>-1.5246742245459348</v>
      </c>
      <c r="N926" s="304">
        <f t="shared" ca="1" si="423"/>
        <v>-87.357398198863649</v>
      </c>
      <c r="P926" s="310">
        <f t="shared" ca="1" si="424"/>
        <v>23</v>
      </c>
      <c r="Q926" s="304">
        <f t="shared" ca="1" si="425"/>
        <v>0</v>
      </c>
      <c r="R926" s="306">
        <f t="shared" ca="1" si="426"/>
        <v>0</v>
      </c>
      <c r="S926" s="307">
        <f t="shared" ca="1" si="427"/>
        <v>6.1519999999999921</v>
      </c>
      <c r="T926" s="304">
        <f t="shared" ca="1" si="407"/>
        <v>60.351119999999923</v>
      </c>
      <c r="U926" s="311">
        <f t="shared" ca="1" si="408"/>
        <v>0</v>
      </c>
      <c r="V926" s="306">
        <f t="shared" ca="1" si="409"/>
        <v>1.225632785557242</v>
      </c>
      <c r="W926" s="304">
        <f t="shared" ca="1" si="410"/>
        <v>52.211858315502411</v>
      </c>
      <c r="Y926" s="314" t="str">
        <f t="shared" ca="1" si="428"/>
        <v/>
      </c>
      <c r="Z926" s="315" t="str">
        <f t="shared" ca="1" si="429"/>
        <v/>
      </c>
      <c r="AA926" s="316" t="str">
        <f t="shared" ca="1" si="430"/>
        <v/>
      </c>
      <c r="AC926" s="310" t="e">
        <f t="shared" ca="1" si="431"/>
        <v>#N/A</v>
      </c>
      <c r="AD926" s="323" t="e">
        <f t="shared" ca="1" si="432"/>
        <v>#N/A</v>
      </c>
      <c r="AE926" s="324" t="e">
        <f t="shared" ca="1" si="411"/>
        <v>#N/A</v>
      </c>
      <c r="AG926" s="306">
        <f t="shared" ca="1" si="433"/>
        <v>1.3126224229420416</v>
      </c>
      <c r="AH926" s="304">
        <f t="shared" ca="1" si="434"/>
        <v>-8.4869451221643164</v>
      </c>
    </row>
    <row r="927" spans="1:34" x14ac:dyDescent="0.2">
      <c r="A927" s="347">
        <f t="shared" ca="1" si="412"/>
        <v>1E-4</v>
      </c>
      <c r="B927" s="304">
        <f t="shared" ca="1" si="413"/>
        <v>41.41490000000077</v>
      </c>
      <c r="D927" s="306">
        <f t="shared" ca="1" si="414"/>
        <v>-0.39129827376496662</v>
      </c>
      <c r="E927" s="307">
        <f t="shared" ca="1" si="415"/>
        <v>-1.33205228129329</v>
      </c>
      <c r="F927" s="304">
        <f t="shared" ca="1" si="416"/>
        <v>1.3883362774018768</v>
      </c>
      <c r="G927" s="306">
        <f t="shared" ca="1" si="417"/>
        <v>6.2281198733427772</v>
      </c>
      <c r="H927" s="307">
        <f t="shared" ca="1" si="418"/>
        <v>-134.94068866595754</v>
      </c>
      <c r="I927" s="304">
        <f t="shared" ca="1" si="419"/>
        <v>135.08434007981683</v>
      </c>
      <c r="J927" s="306">
        <f t="shared" ca="1" si="420"/>
        <v>568.62651553779426</v>
      </c>
      <c r="K927" s="307">
        <f t="shared" ca="1" si="421"/>
        <v>-5.1777566230555401</v>
      </c>
      <c r="L927" s="304">
        <f t="shared" ca="1" si="406"/>
        <v>568.65008866287974</v>
      </c>
      <c r="M927" s="306">
        <f t="shared" ca="1" si="422"/>
        <v>-1.5246745593718849</v>
      </c>
      <c r="N927" s="304">
        <f t="shared" ca="1" si="423"/>
        <v>-87.357417382977459</v>
      </c>
      <c r="P927" s="310">
        <f t="shared" ca="1" si="424"/>
        <v>23</v>
      </c>
      <c r="Q927" s="304">
        <f t="shared" ca="1" si="425"/>
        <v>0</v>
      </c>
      <c r="R927" s="306">
        <f t="shared" ca="1" si="426"/>
        <v>0</v>
      </c>
      <c r="S927" s="307">
        <f t="shared" ca="1" si="427"/>
        <v>6.1519999999999921</v>
      </c>
      <c r="T927" s="304">
        <f t="shared" ca="1" si="407"/>
        <v>60.351119999999923</v>
      </c>
      <c r="U927" s="311">
        <f t="shared" ca="1" si="408"/>
        <v>0</v>
      </c>
      <c r="V927" s="306">
        <f t="shared" ca="1" si="409"/>
        <v>1.2256344394349739</v>
      </c>
      <c r="W927" s="304">
        <f t="shared" ca="1" si="410"/>
        <v>52.21203023783854</v>
      </c>
      <c r="Y927" s="314" t="str">
        <f t="shared" ca="1" si="428"/>
        <v/>
      </c>
      <c r="Z927" s="315" t="str">
        <f t="shared" ca="1" si="429"/>
        <v/>
      </c>
      <c r="AA927" s="316" t="str">
        <f t="shared" ca="1" si="430"/>
        <v/>
      </c>
      <c r="AC927" s="310" t="e">
        <f t="shared" ca="1" si="431"/>
        <v>#N/A</v>
      </c>
      <c r="AD927" s="323" t="e">
        <f t="shared" ca="1" si="432"/>
        <v>#N/A</v>
      </c>
      <c r="AE927" s="324" t="e">
        <f t="shared" ca="1" si="411"/>
        <v>#N/A</v>
      </c>
      <c r="AG927" s="306">
        <f t="shared" ca="1" si="433"/>
        <v>1.3125946283594594</v>
      </c>
      <c r="AH927" s="304">
        <f t="shared" ca="1" si="434"/>
        <v>-8.4869730681896094</v>
      </c>
    </row>
    <row r="928" spans="1:34" x14ac:dyDescent="0.2">
      <c r="A928" s="347">
        <f t="shared" ca="1" si="412"/>
        <v>1E-4</v>
      </c>
      <c r="B928" s="304">
        <f t="shared" ca="1" si="413"/>
        <v>41.415000000000774</v>
      </c>
      <c r="D928" s="306">
        <f t="shared" ca="1" si="414"/>
        <v>-0.3912967235791267</v>
      </c>
      <c r="E928" s="307">
        <f t="shared" ca="1" si="415"/>
        <v>-1.3320242342316888</v>
      </c>
      <c r="F928" s="304">
        <f t="shared" ca="1" si="416"/>
        <v>1.3883089304849539</v>
      </c>
      <c r="G928" s="306">
        <f t="shared" ca="1" si="417"/>
        <v>6.2280807436704189</v>
      </c>
      <c r="H928" s="307">
        <f t="shared" ca="1" si="418"/>
        <v>-134.94082186838097</v>
      </c>
      <c r="I928" s="304">
        <f t="shared" ca="1" si="419"/>
        <v>135.08447133650782</v>
      </c>
      <c r="J928" s="306">
        <f t="shared" ca="1" si="420"/>
        <v>568.62651553779426</v>
      </c>
      <c r="K928" s="307">
        <f t="shared" ca="1" si="421"/>
        <v>-5.1912506985822571</v>
      </c>
      <c r="L928" s="304">
        <f t="shared" ca="1" si="406"/>
        <v>568.65021169121962</v>
      </c>
      <c r="M928" s="306">
        <f t="shared" ca="1" si="422"/>
        <v>-1.5246748941950807</v>
      </c>
      <c r="N928" s="304">
        <f t="shared" ca="1" si="423"/>
        <v>-87.357436566933458</v>
      </c>
      <c r="P928" s="310">
        <f t="shared" ca="1" si="424"/>
        <v>23</v>
      </c>
      <c r="Q928" s="304">
        <f t="shared" ca="1" si="425"/>
        <v>0</v>
      </c>
      <c r="R928" s="306">
        <f t="shared" ca="1" si="426"/>
        <v>0</v>
      </c>
      <c r="S928" s="307">
        <f t="shared" ca="1" si="427"/>
        <v>6.1519999999999921</v>
      </c>
      <c r="T928" s="304">
        <f t="shared" ca="1" si="407"/>
        <v>60.351119999999923</v>
      </c>
      <c r="U928" s="311">
        <f t="shared" ca="1" si="408"/>
        <v>0</v>
      </c>
      <c r="V928" s="306">
        <f t="shared" ca="1" si="409"/>
        <v>1.2256360933165702</v>
      </c>
      <c r="W928" s="304">
        <f t="shared" ca="1" si="410"/>
        <v>52.212202158563166</v>
      </c>
      <c r="Y928" s="314" t="str">
        <f t="shared" ca="1" si="428"/>
        <v/>
      </c>
      <c r="Z928" s="315" t="str">
        <f t="shared" ca="1" si="429"/>
        <v/>
      </c>
      <c r="AA928" s="316" t="str">
        <f t="shared" ca="1" si="430"/>
        <v/>
      </c>
      <c r="AC928" s="310" t="e">
        <f t="shared" ca="1" si="431"/>
        <v>#N/A</v>
      </c>
      <c r="AD928" s="323" t="e">
        <f t="shared" ca="1" si="432"/>
        <v>#N/A</v>
      </c>
      <c r="AE928" s="324" t="e">
        <f t="shared" ca="1" si="411"/>
        <v>#N/A</v>
      </c>
      <c r="AG928" s="306">
        <f t="shared" ca="1" si="433"/>
        <v>1.312566834036474</v>
      </c>
      <c r="AH928" s="304">
        <f t="shared" ca="1" si="434"/>
        <v>-8.487001013952959</v>
      </c>
    </row>
    <row r="929" spans="1:34" x14ac:dyDescent="0.2">
      <c r="A929" s="347">
        <f t="shared" ca="1" si="412"/>
        <v>1E-4</v>
      </c>
      <c r="B929" s="304">
        <f t="shared" ca="1" si="413"/>
        <v>41.415100000000777</v>
      </c>
      <c r="D929" s="306">
        <f t="shared" ca="1" si="414"/>
        <v>-0.39129517338582237</v>
      </c>
      <c r="E929" s="307">
        <f t="shared" ca="1" si="415"/>
        <v>-1.3319961874329209</v>
      </c>
      <c r="F929" s="304">
        <f t="shared" ca="1" si="416"/>
        <v>1.3882815838477718</v>
      </c>
      <c r="G929" s="306">
        <f t="shared" ca="1" si="417"/>
        <v>6.2280416141530806</v>
      </c>
      <c r="H929" s="307">
        <f t="shared" ca="1" si="418"/>
        <v>-134.94095506799971</v>
      </c>
      <c r="I929" s="304">
        <f t="shared" ca="1" si="419"/>
        <v>135.08460259041939</v>
      </c>
      <c r="J929" s="306">
        <f t="shared" ca="1" si="420"/>
        <v>568.62651553779426</v>
      </c>
      <c r="K929" s="307">
        <f t="shared" ca="1" si="421"/>
        <v>-5.2047447874290764</v>
      </c>
      <c r="L929" s="304">
        <f t="shared" ca="1" si="406"/>
        <v>568.65033503986933</v>
      </c>
      <c r="M929" s="306">
        <f t="shared" ca="1" si="422"/>
        <v>-1.5246752290155223</v>
      </c>
      <c r="N929" s="304">
        <f t="shared" ca="1" si="423"/>
        <v>-87.35745575073166</v>
      </c>
      <c r="P929" s="310">
        <f t="shared" ca="1" si="424"/>
        <v>23</v>
      </c>
      <c r="Q929" s="304">
        <f t="shared" ca="1" si="425"/>
        <v>0</v>
      </c>
      <c r="R929" s="306">
        <f t="shared" ca="1" si="426"/>
        <v>0</v>
      </c>
      <c r="S929" s="307">
        <f t="shared" ca="1" si="427"/>
        <v>6.1519999999999921</v>
      </c>
      <c r="T929" s="304">
        <f t="shared" ca="1" si="407"/>
        <v>60.351119999999923</v>
      </c>
      <c r="U929" s="311">
        <f t="shared" ca="1" si="408"/>
        <v>0</v>
      </c>
      <c r="V929" s="306">
        <f t="shared" ca="1" si="409"/>
        <v>1.2256377472020312</v>
      </c>
      <c r="W929" s="304">
        <f t="shared" ca="1" si="410"/>
        <v>52.212374077676266</v>
      </c>
      <c r="Y929" s="314" t="str">
        <f t="shared" ca="1" si="428"/>
        <v/>
      </c>
      <c r="Z929" s="315" t="str">
        <f t="shared" ca="1" si="429"/>
        <v/>
      </c>
      <c r="AA929" s="316" t="str">
        <f t="shared" ca="1" si="430"/>
        <v/>
      </c>
      <c r="AC929" s="310" t="e">
        <f t="shared" ca="1" si="431"/>
        <v>#N/A</v>
      </c>
      <c r="AD929" s="323" t="e">
        <f t="shared" ca="1" si="432"/>
        <v>#N/A</v>
      </c>
      <c r="AE929" s="324" t="e">
        <f t="shared" ca="1" si="411"/>
        <v>#N/A</v>
      </c>
      <c r="AG929" s="306">
        <f t="shared" ca="1" si="433"/>
        <v>1.3125390399730943</v>
      </c>
      <c r="AH929" s="304">
        <f t="shared" ca="1" si="434"/>
        <v>-8.4870289594543618</v>
      </c>
    </row>
    <row r="930" spans="1:34" x14ac:dyDescent="0.2">
      <c r="A930" s="347">
        <f t="shared" ca="1" si="412"/>
        <v>1E-4</v>
      </c>
      <c r="B930" s="304">
        <f t="shared" ca="1" si="413"/>
        <v>41.41520000000078</v>
      </c>
      <c r="D930" s="306">
        <f t="shared" ca="1" si="414"/>
        <v>-0.39129362318505367</v>
      </c>
      <c r="E930" s="307">
        <f t="shared" ca="1" si="415"/>
        <v>-1.3319681408969917</v>
      </c>
      <c r="F930" s="304">
        <f t="shared" ca="1" si="416"/>
        <v>1.3882542374903364</v>
      </c>
      <c r="G930" s="306">
        <f t="shared" ca="1" si="417"/>
        <v>6.2280024847907622</v>
      </c>
      <c r="H930" s="307">
        <f t="shared" ca="1" si="418"/>
        <v>-134.9410882648138</v>
      </c>
      <c r="I930" s="304">
        <f t="shared" ca="1" si="419"/>
        <v>135.08473384155155</v>
      </c>
      <c r="J930" s="306">
        <f t="shared" ca="1" si="420"/>
        <v>568.62651553779426</v>
      </c>
      <c r="K930" s="307">
        <f t="shared" ca="1" si="421"/>
        <v>-5.2182388895957175</v>
      </c>
      <c r="L930" s="304">
        <f t="shared" ca="1" si="406"/>
        <v>568.65045870882955</v>
      </c>
      <c r="M930" s="306">
        <f t="shared" ca="1" si="422"/>
        <v>-1.5246755638332097</v>
      </c>
      <c r="N930" s="304">
        <f t="shared" ca="1" si="423"/>
        <v>-87.35747493437205</v>
      </c>
      <c r="P930" s="310">
        <f t="shared" ca="1" si="424"/>
        <v>23</v>
      </c>
      <c r="Q930" s="304">
        <f t="shared" ca="1" si="425"/>
        <v>0</v>
      </c>
      <c r="R930" s="306">
        <f t="shared" ca="1" si="426"/>
        <v>0</v>
      </c>
      <c r="S930" s="307">
        <f t="shared" ca="1" si="427"/>
        <v>6.1519999999999921</v>
      </c>
      <c r="T930" s="304">
        <f t="shared" ca="1" si="407"/>
        <v>60.351119999999923</v>
      </c>
      <c r="U930" s="311">
        <f t="shared" ca="1" si="408"/>
        <v>0</v>
      </c>
      <c r="V930" s="306">
        <f t="shared" ca="1" si="409"/>
        <v>1.2256394010913576</v>
      </c>
      <c r="W930" s="304">
        <f t="shared" ca="1" si="410"/>
        <v>52.212545995177877</v>
      </c>
      <c r="Y930" s="314" t="str">
        <f t="shared" ca="1" si="428"/>
        <v/>
      </c>
      <c r="Z930" s="315" t="str">
        <f t="shared" ca="1" si="429"/>
        <v/>
      </c>
      <c r="AA930" s="316" t="str">
        <f t="shared" ca="1" si="430"/>
        <v/>
      </c>
      <c r="AC930" s="310" t="e">
        <f t="shared" ca="1" si="431"/>
        <v>#N/A</v>
      </c>
      <c r="AD930" s="323" t="e">
        <f t="shared" ca="1" si="432"/>
        <v>#N/A</v>
      </c>
      <c r="AE930" s="324" t="e">
        <f t="shared" ca="1" si="411"/>
        <v>#N/A</v>
      </c>
      <c r="AG930" s="306">
        <f t="shared" ca="1" si="433"/>
        <v>1.3125112461693202</v>
      </c>
      <c r="AH930" s="304">
        <f t="shared" ca="1" si="434"/>
        <v>-8.4870569046938122</v>
      </c>
    </row>
    <row r="931" spans="1:34" x14ac:dyDescent="0.2">
      <c r="A931" s="347">
        <f t="shared" ca="1" si="412"/>
        <v>1E-4</v>
      </c>
      <c r="B931" s="304">
        <f t="shared" ca="1" si="413"/>
        <v>41.415300000000784</v>
      </c>
      <c r="D931" s="306">
        <f t="shared" ca="1" si="414"/>
        <v>-0.39129207297682161</v>
      </c>
      <c r="E931" s="307">
        <f t="shared" ca="1" si="415"/>
        <v>-1.331940094623894</v>
      </c>
      <c r="F931" s="304">
        <f t="shared" ca="1" si="416"/>
        <v>1.3882268914126414</v>
      </c>
      <c r="G931" s="306">
        <f t="shared" ca="1" si="417"/>
        <v>6.2279633555834648</v>
      </c>
      <c r="H931" s="307">
        <f t="shared" ca="1" si="418"/>
        <v>-134.94122145882326</v>
      </c>
      <c r="I931" s="304">
        <f t="shared" ca="1" si="419"/>
        <v>135.08486508990441</v>
      </c>
      <c r="J931" s="306">
        <f t="shared" ca="1" si="420"/>
        <v>568.62651553779426</v>
      </c>
      <c r="K931" s="307">
        <f t="shared" ca="1" si="421"/>
        <v>-5.2317330050818995</v>
      </c>
      <c r="L931" s="304">
        <f t="shared" ca="1" si="406"/>
        <v>568.65058269810106</v>
      </c>
      <c r="M931" s="306">
        <f t="shared" ca="1" si="422"/>
        <v>-1.5246758986481428</v>
      </c>
      <c r="N931" s="304">
        <f t="shared" ca="1" si="423"/>
        <v>-87.357494117854642</v>
      </c>
      <c r="P931" s="310">
        <f t="shared" ca="1" si="424"/>
        <v>23</v>
      </c>
      <c r="Q931" s="304">
        <f t="shared" ca="1" si="425"/>
        <v>0</v>
      </c>
      <c r="R931" s="306">
        <f t="shared" ca="1" si="426"/>
        <v>0</v>
      </c>
      <c r="S931" s="307">
        <f t="shared" ca="1" si="427"/>
        <v>6.1519999999999921</v>
      </c>
      <c r="T931" s="304">
        <f t="shared" ca="1" si="407"/>
        <v>60.351119999999923</v>
      </c>
      <c r="U931" s="311">
        <f t="shared" ca="1" si="408"/>
        <v>0</v>
      </c>
      <c r="V931" s="306">
        <f t="shared" ca="1" si="409"/>
        <v>1.2256410549845487</v>
      </c>
      <c r="W931" s="304">
        <f t="shared" ca="1" si="410"/>
        <v>52.212717911068026</v>
      </c>
      <c r="Y931" s="314" t="str">
        <f t="shared" ca="1" si="428"/>
        <v/>
      </c>
      <c r="Z931" s="315" t="str">
        <f t="shared" ca="1" si="429"/>
        <v/>
      </c>
      <c r="AA931" s="316" t="str">
        <f t="shared" ca="1" si="430"/>
        <v/>
      </c>
      <c r="AC931" s="310" t="e">
        <f t="shared" ca="1" si="431"/>
        <v>#N/A</v>
      </c>
      <c r="AD931" s="323" t="e">
        <f t="shared" ca="1" si="432"/>
        <v>#N/A</v>
      </c>
      <c r="AE931" s="324" t="e">
        <f t="shared" ca="1" si="411"/>
        <v>#N/A</v>
      </c>
      <c r="AG931" s="306">
        <f t="shared" ca="1" si="433"/>
        <v>1.3124834526251483</v>
      </c>
      <c r="AH931" s="304">
        <f t="shared" ca="1" si="434"/>
        <v>-8.4870848496713176</v>
      </c>
    </row>
    <row r="932" spans="1:34" x14ac:dyDescent="0.2">
      <c r="A932" s="347">
        <f t="shared" ca="1" si="412"/>
        <v>1E-4</v>
      </c>
      <c r="B932" s="304">
        <f t="shared" ca="1" si="413"/>
        <v>41.415400000000787</v>
      </c>
      <c r="D932" s="306">
        <f t="shared" ca="1" si="414"/>
        <v>-0.39129052276112669</v>
      </c>
      <c r="E932" s="307">
        <f t="shared" ca="1" si="415"/>
        <v>-1.331912048613626</v>
      </c>
      <c r="F932" s="304">
        <f t="shared" ca="1" si="416"/>
        <v>1.3881995456146865</v>
      </c>
      <c r="G932" s="306">
        <f t="shared" ca="1" si="417"/>
        <v>6.2279242265311883</v>
      </c>
      <c r="H932" s="307">
        <f t="shared" ca="1" si="418"/>
        <v>-134.94135465002813</v>
      </c>
      <c r="I932" s="304">
        <f t="shared" ca="1" si="419"/>
        <v>135.08499633547791</v>
      </c>
      <c r="J932" s="306">
        <f t="shared" ca="1" si="420"/>
        <v>568.62651553779426</v>
      </c>
      <c r="K932" s="307">
        <f t="shared" ca="1" si="421"/>
        <v>-5.245227133887342</v>
      </c>
      <c r="L932" s="304">
        <f t="shared" ca="1" si="406"/>
        <v>568.65070700768456</v>
      </c>
      <c r="M932" s="306">
        <f t="shared" ca="1" si="422"/>
        <v>-1.5246762334603217</v>
      </c>
      <c r="N932" s="304">
        <f t="shared" ca="1" si="423"/>
        <v>-87.357513301179424</v>
      </c>
      <c r="P932" s="310">
        <f t="shared" ca="1" si="424"/>
        <v>23</v>
      </c>
      <c r="Q932" s="304">
        <f t="shared" ca="1" si="425"/>
        <v>0</v>
      </c>
      <c r="R932" s="306">
        <f t="shared" ca="1" si="426"/>
        <v>0</v>
      </c>
      <c r="S932" s="307">
        <f t="shared" ca="1" si="427"/>
        <v>6.1519999999999921</v>
      </c>
      <c r="T932" s="304">
        <f t="shared" ca="1" si="407"/>
        <v>60.351119999999923</v>
      </c>
      <c r="U932" s="311">
        <f t="shared" ca="1" si="408"/>
        <v>0</v>
      </c>
      <c r="V932" s="306">
        <f t="shared" ca="1" si="409"/>
        <v>1.2256427088816046</v>
      </c>
      <c r="W932" s="304">
        <f t="shared" ca="1" si="410"/>
        <v>52.212889825346679</v>
      </c>
      <c r="Y932" s="314" t="str">
        <f t="shared" ca="1" si="428"/>
        <v/>
      </c>
      <c r="Z932" s="315" t="str">
        <f t="shared" ca="1" si="429"/>
        <v/>
      </c>
      <c r="AA932" s="316" t="str">
        <f t="shared" ca="1" si="430"/>
        <v/>
      </c>
      <c r="AC932" s="310" t="e">
        <f t="shared" ca="1" si="431"/>
        <v>#N/A</v>
      </c>
      <c r="AD932" s="323" t="e">
        <f t="shared" ca="1" si="432"/>
        <v>#N/A</v>
      </c>
      <c r="AE932" s="324" t="e">
        <f t="shared" ca="1" si="411"/>
        <v>#N/A</v>
      </c>
      <c r="AG932" s="306">
        <f t="shared" ca="1" si="433"/>
        <v>1.3124556593405714</v>
      </c>
      <c r="AH932" s="304">
        <f t="shared" ca="1" si="434"/>
        <v>-8.4871127943868814</v>
      </c>
    </row>
    <row r="933" spans="1:34" x14ac:dyDescent="0.2">
      <c r="A933" s="347">
        <f t="shared" ca="1" si="412"/>
        <v>1E-4</v>
      </c>
      <c r="B933" s="304">
        <f t="shared" ca="1" si="413"/>
        <v>41.41550000000079</v>
      </c>
      <c r="D933" s="306">
        <f t="shared" ca="1" si="414"/>
        <v>-0.39128897253796929</v>
      </c>
      <c r="E933" s="307">
        <f t="shared" ca="1" si="415"/>
        <v>-1.3318840028661896</v>
      </c>
      <c r="F933" s="304">
        <f t="shared" ca="1" si="416"/>
        <v>1.3881722000964736</v>
      </c>
      <c r="G933" s="306">
        <f t="shared" ca="1" si="417"/>
        <v>6.2278850976339344</v>
      </c>
      <c r="H933" s="307">
        <f t="shared" ca="1" si="418"/>
        <v>-134.94148783842843</v>
      </c>
      <c r="I933" s="304">
        <f t="shared" ca="1" si="419"/>
        <v>135.08512757827214</v>
      </c>
      <c r="J933" s="306">
        <f t="shared" ca="1" si="420"/>
        <v>568.62651553779426</v>
      </c>
      <c r="K933" s="307">
        <f t="shared" ca="1" si="421"/>
        <v>-5.258721276011765</v>
      </c>
      <c r="L933" s="304">
        <f t="shared" ca="1" si="406"/>
        <v>568.65083163758072</v>
      </c>
      <c r="M933" s="306">
        <f t="shared" ca="1" si="422"/>
        <v>-1.5246765682697465</v>
      </c>
      <c r="N933" s="304">
        <f t="shared" ca="1" si="423"/>
        <v>-87.357532484346407</v>
      </c>
      <c r="P933" s="310">
        <f t="shared" ca="1" si="424"/>
        <v>23</v>
      </c>
      <c r="Q933" s="304">
        <f t="shared" ca="1" si="425"/>
        <v>0</v>
      </c>
      <c r="R933" s="306">
        <f t="shared" ca="1" si="426"/>
        <v>0</v>
      </c>
      <c r="S933" s="307">
        <f t="shared" ca="1" si="427"/>
        <v>6.1519999999999921</v>
      </c>
      <c r="T933" s="304">
        <f t="shared" ca="1" si="407"/>
        <v>60.351119999999923</v>
      </c>
      <c r="U933" s="311">
        <f t="shared" ca="1" si="408"/>
        <v>0</v>
      </c>
      <c r="V933" s="306">
        <f t="shared" ca="1" si="409"/>
        <v>1.2256443627825253</v>
      </c>
      <c r="W933" s="304">
        <f t="shared" ca="1" si="410"/>
        <v>52.21306173801387</v>
      </c>
      <c r="Y933" s="314" t="str">
        <f t="shared" ca="1" si="428"/>
        <v/>
      </c>
      <c r="Z933" s="315" t="str">
        <f t="shared" ca="1" si="429"/>
        <v/>
      </c>
      <c r="AA933" s="316" t="str">
        <f t="shared" ca="1" si="430"/>
        <v/>
      </c>
      <c r="AC933" s="310" t="e">
        <f t="shared" ca="1" si="431"/>
        <v>#N/A</v>
      </c>
      <c r="AD933" s="323" t="e">
        <f t="shared" ca="1" si="432"/>
        <v>#N/A</v>
      </c>
      <c r="AE933" s="324" t="e">
        <f t="shared" ca="1" si="411"/>
        <v>#N/A</v>
      </c>
      <c r="AG933" s="306">
        <f t="shared" ca="1" si="433"/>
        <v>1.3124278663156002</v>
      </c>
      <c r="AH933" s="304">
        <f t="shared" ca="1" si="434"/>
        <v>-8.4871407388404982</v>
      </c>
    </row>
    <row r="934" spans="1:34" x14ac:dyDescent="0.2">
      <c r="A934" s="347">
        <f t="shared" ca="1" si="412"/>
        <v>1E-4</v>
      </c>
      <c r="B934" s="304">
        <f t="shared" ca="1" si="413"/>
        <v>41.415600000000794</v>
      </c>
      <c r="D934" s="306">
        <f t="shared" ca="1" si="414"/>
        <v>-0.3912874223073482</v>
      </c>
      <c r="E934" s="307">
        <f t="shared" ca="1" si="415"/>
        <v>-1.3318559573815829</v>
      </c>
      <c r="F934" s="304">
        <f t="shared" ca="1" si="416"/>
        <v>1.3881448548580013</v>
      </c>
      <c r="G934" s="306">
        <f t="shared" ca="1" si="417"/>
        <v>6.2278459688917041</v>
      </c>
      <c r="H934" s="307">
        <f t="shared" ca="1" si="418"/>
        <v>-134.94162102402416</v>
      </c>
      <c r="I934" s="304">
        <f t="shared" ca="1" si="419"/>
        <v>135.08525881828706</v>
      </c>
      <c r="J934" s="306">
        <f t="shared" ca="1" si="420"/>
        <v>568.62651553779426</v>
      </c>
      <c r="K934" s="307">
        <f t="shared" ca="1" si="421"/>
        <v>-5.2722154314548879</v>
      </c>
      <c r="L934" s="304">
        <f t="shared" ca="1" si="406"/>
        <v>568.65095658779035</v>
      </c>
      <c r="M934" s="306">
        <f t="shared" ca="1" si="422"/>
        <v>-1.5246769030764171</v>
      </c>
      <c r="N934" s="304">
        <f t="shared" ca="1" si="423"/>
        <v>-87.35755166735558</v>
      </c>
      <c r="P934" s="310">
        <f t="shared" ca="1" si="424"/>
        <v>23</v>
      </c>
      <c r="Q934" s="304">
        <f t="shared" ca="1" si="425"/>
        <v>0</v>
      </c>
      <c r="R934" s="306">
        <f t="shared" ca="1" si="426"/>
        <v>0</v>
      </c>
      <c r="S934" s="307">
        <f t="shared" ca="1" si="427"/>
        <v>6.1519999999999921</v>
      </c>
      <c r="T934" s="304">
        <f t="shared" ca="1" si="407"/>
        <v>60.351119999999923</v>
      </c>
      <c r="U934" s="311">
        <f t="shared" ca="1" si="408"/>
        <v>0</v>
      </c>
      <c r="V934" s="306">
        <f t="shared" ca="1" si="409"/>
        <v>1.2256460166873107</v>
      </c>
      <c r="W934" s="304">
        <f t="shared" ca="1" si="410"/>
        <v>52.213233649069572</v>
      </c>
      <c r="Y934" s="314" t="str">
        <f t="shared" ca="1" si="428"/>
        <v/>
      </c>
      <c r="Z934" s="315" t="str">
        <f t="shared" ca="1" si="429"/>
        <v/>
      </c>
      <c r="AA934" s="316" t="str">
        <f t="shared" ca="1" si="430"/>
        <v/>
      </c>
      <c r="AC934" s="310" t="e">
        <f t="shared" ca="1" si="431"/>
        <v>#N/A</v>
      </c>
      <c r="AD934" s="323" t="e">
        <f t="shared" ca="1" si="432"/>
        <v>#N/A</v>
      </c>
      <c r="AE934" s="324" t="e">
        <f t="shared" ca="1" si="411"/>
        <v>#N/A</v>
      </c>
      <c r="AG934" s="306">
        <f t="shared" ca="1" si="433"/>
        <v>1.3124000735502257</v>
      </c>
      <c r="AH934" s="304">
        <f t="shared" ca="1" si="434"/>
        <v>-8.4871686830321735</v>
      </c>
    </row>
    <row r="935" spans="1:34" x14ac:dyDescent="0.2">
      <c r="A935" s="347">
        <f t="shared" ca="1" si="412"/>
        <v>1E-4</v>
      </c>
      <c r="B935" s="304">
        <f t="shared" ca="1" si="413"/>
        <v>41.415700000000797</v>
      </c>
      <c r="D935" s="306">
        <f t="shared" ca="1" si="414"/>
        <v>-0.39128587206926568</v>
      </c>
      <c r="E935" s="307">
        <f t="shared" ca="1" si="415"/>
        <v>-1.3318279121598078</v>
      </c>
      <c r="F935" s="304">
        <f t="shared" ca="1" si="416"/>
        <v>1.3881175098992731</v>
      </c>
      <c r="G935" s="306">
        <f t="shared" ca="1" si="417"/>
        <v>6.2278068403044973</v>
      </c>
      <c r="H935" s="307">
        <f t="shared" ca="1" si="418"/>
        <v>-134.94175420681538</v>
      </c>
      <c r="I935" s="304">
        <f t="shared" ca="1" si="419"/>
        <v>135.08539005552274</v>
      </c>
      <c r="J935" s="306">
        <f t="shared" ca="1" si="420"/>
        <v>568.62651553779426</v>
      </c>
      <c r="K935" s="307">
        <f t="shared" ca="1" si="421"/>
        <v>-5.2857096002164301</v>
      </c>
      <c r="L935" s="304">
        <f t="shared" ca="1" si="406"/>
        <v>568.65108185831423</v>
      </c>
      <c r="M935" s="306">
        <f t="shared" ca="1" si="422"/>
        <v>-1.5246772378803337</v>
      </c>
      <c r="N935" s="304">
        <f t="shared" ca="1" si="423"/>
        <v>-87.357570850206969</v>
      </c>
      <c r="P935" s="310">
        <f t="shared" ca="1" si="424"/>
        <v>23</v>
      </c>
      <c r="Q935" s="304">
        <f t="shared" ca="1" si="425"/>
        <v>0</v>
      </c>
      <c r="R935" s="306">
        <f t="shared" ca="1" si="426"/>
        <v>0</v>
      </c>
      <c r="S935" s="307">
        <f t="shared" ca="1" si="427"/>
        <v>6.1519999999999921</v>
      </c>
      <c r="T935" s="304">
        <f t="shared" ca="1" si="407"/>
        <v>60.351119999999923</v>
      </c>
      <c r="U935" s="311">
        <f t="shared" ca="1" si="408"/>
        <v>0</v>
      </c>
      <c r="V935" s="306">
        <f t="shared" ca="1" si="409"/>
        <v>1.2256476705959607</v>
      </c>
      <c r="W935" s="304">
        <f t="shared" ca="1" si="410"/>
        <v>52.213405558513792</v>
      </c>
      <c r="Y935" s="314" t="str">
        <f t="shared" ca="1" si="428"/>
        <v/>
      </c>
      <c r="Z935" s="315" t="str">
        <f t="shared" ca="1" si="429"/>
        <v/>
      </c>
      <c r="AA935" s="316" t="str">
        <f t="shared" ca="1" si="430"/>
        <v/>
      </c>
      <c r="AC935" s="310" t="e">
        <f t="shared" ca="1" si="431"/>
        <v>#N/A</v>
      </c>
      <c r="AD935" s="323" t="e">
        <f t="shared" ca="1" si="432"/>
        <v>#N/A</v>
      </c>
      <c r="AE935" s="324" t="e">
        <f t="shared" ca="1" si="411"/>
        <v>#N/A</v>
      </c>
      <c r="AG935" s="306">
        <f t="shared" ca="1" si="433"/>
        <v>1.312372281044448</v>
      </c>
      <c r="AH935" s="304">
        <f t="shared" ca="1" si="434"/>
        <v>-8.4871966269619055</v>
      </c>
    </row>
    <row r="936" spans="1:34" x14ac:dyDescent="0.2">
      <c r="A936" s="347">
        <f t="shared" ca="1" si="412"/>
        <v>1E-4</v>
      </c>
      <c r="B936" s="304">
        <f t="shared" ca="1" si="413"/>
        <v>41.4158000000008</v>
      </c>
      <c r="D936" s="306">
        <f t="shared" ca="1" si="414"/>
        <v>-0.39128432182372025</v>
      </c>
      <c r="E936" s="307">
        <f t="shared" ca="1" si="415"/>
        <v>-1.3317998672008642</v>
      </c>
      <c r="F936" s="304">
        <f t="shared" ca="1" si="416"/>
        <v>1.3880901652202886</v>
      </c>
      <c r="G936" s="306">
        <f t="shared" ca="1" si="417"/>
        <v>6.2277677118723149</v>
      </c>
      <c r="H936" s="307">
        <f t="shared" ca="1" si="418"/>
        <v>-134.94188738680211</v>
      </c>
      <c r="I936" s="304">
        <f t="shared" ca="1" si="419"/>
        <v>135.0855212899792</v>
      </c>
      <c r="J936" s="306">
        <f t="shared" ca="1" si="420"/>
        <v>568.62651553779426</v>
      </c>
      <c r="K936" s="307">
        <f t="shared" ca="1" si="421"/>
        <v>-5.2992037822961109</v>
      </c>
      <c r="L936" s="304">
        <f t="shared" ca="1" si="406"/>
        <v>568.65120744915305</v>
      </c>
      <c r="M936" s="306">
        <f t="shared" ca="1" si="422"/>
        <v>-1.5246775726814963</v>
      </c>
      <c r="N936" s="304">
        <f t="shared" ca="1" si="423"/>
        <v>-87.357590032900561</v>
      </c>
      <c r="P936" s="310">
        <f t="shared" ca="1" si="424"/>
        <v>23</v>
      </c>
      <c r="Q936" s="304">
        <f t="shared" ca="1" si="425"/>
        <v>0</v>
      </c>
      <c r="R936" s="306">
        <f t="shared" ca="1" si="426"/>
        <v>0</v>
      </c>
      <c r="S936" s="307">
        <f t="shared" ca="1" si="427"/>
        <v>6.1519999999999921</v>
      </c>
      <c r="T936" s="304">
        <f t="shared" ca="1" si="407"/>
        <v>60.351119999999923</v>
      </c>
      <c r="U936" s="311">
        <f t="shared" ca="1" si="408"/>
        <v>0</v>
      </c>
      <c r="V936" s="306">
        <f t="shared" ca="1" si="409"/>
        <v>1.2256493245084759</v>
      </c>
      <c r="W936" s="304">
        <f t="shared" ca="1" si="410"/>
        <v>52.213577466346592</v>
      </c>
      <c r="Y936" s="314" t="str">
        <f t="shared" ca="1" si="428"/>
        <v/>
      </c>
      <c r="Z936" s="315" t="str">
        <f t="shared" ca="1" si="429"/>
        <v/>
      </c>
      <c r="AA936" s="316" t="str">
        <f t="shared" ca="1" si="430"/>
        <v/>
      </c>
      <c r="AC936" s="310" t="e">
        <f t="shared" ca="1" si="431"/>
        <v>#N/A</v>
      </c>
      <c r="AD936" s="323" t="e">
        <f t="shared" ca="1" si="432"/>
        <v>#N/A</v>
      </c>
      <c r="AE936" s="324" t="e">
        <f t="shared" ca="1" si="411"/>
        <v>#N/A</v>
      </c>
      <c r="AG936" s="306">
        <f t="shared" ca="1" si="433"/>
        <v>1.312344488798276</v>
      </c>
      <c r="AH936" s="304">
        <f t="shared" ca="1" si="434"/>
        <v>-8.4872245706296905</v>
      </c>
    </row>
    <row r="937" spans="1:34" x14ac:dyDescent="0.2">
      <c r="A937" s="347">
        <f t="shared" ca="1" si="412"/>
        <v>1E-4</v>
      </c>
      <c r="B937" s="304">
        <f t="shared" ca="1" si="413"/>
        <v>41.415900000000804</v>
      </c>
      <c r="D937" s="306">
        <f t="shared" ca="1" si="414"/>
        <v>-0.39128277157071301</v>
      </c>
      <c r="E937" s="307">
        <f t="shared" ca="1" si="415"/>
        <v>-1.3317718225047415</v>
      </c>
      <c r="F937" s="304">
        <f t="shared" ca="1" si="416"/>
        <v>1.3880628208210388</v>
      </c>
      <c r="G937" s="306">
        <f t="shared" ca="1" si="417"/>
        <v>6.2277285835951579</v>
      </c>
      <c r="H937" s="307">
        <f t="shared" ca="1" si="418"/>
        <v>-134.94202056398436</v>
      </c>
      <c r="I937" s="304">
        <f t="shared" ca="1" si="419"/>
        <v>135.08565252165644</v>
      </c>
      <c r="J937" s="306">
        <f t="shared" ca="1" si="420"/>
        <v>568.62651553779426</v>
      </c>
      <c r="K937" s="307">
        <f t="shared" ca="1" si="421"/>
        <v>-5.3126979776936505</v>
      </c>
      <c r="L937" s="304">
        <f t="shared" ca="1" si="406"/>
        <v>568.65133336030749</v>
      </c>
      <c r="M937" s="306">
        <f t="shared" ca="1" si="422"/>
        <v>-1.5246779074799048</v>
      </c>
      <c r="N937" s="304">
        <f t="shared" ca="1" si="423"/>
        <v>-87.357609215436355</v>
      </c>
      <c r="P937" s="310">
        <f t="shared" ca="1" si="424"/>
        <v>23</v>
      </c>
      <c r="Q937" s="304">
        <f t="shared" ca="1" si="425"/>
        <v>0</v>
      </c>
      <c r="R937" s="306">
        <f t="shared" ca="1" si="426"/>
        <v>0</v>
      </c>
      <c r="S937" s="307">
        <f t="shared" ca="1" si="427"/>
        <v>6.1519999999999921</v>
      </c>
      <c r="T937" s="304">
        <f t="shared" ca="1" si="407"/>
        <v>60.351119999999923</v>
      </c>
      <c r="U937" s="311">
        <f t="shared" ca="1" si="408"/>
        <v>0</v>
      </c>
      <c r="V937" s="306">
        <f t="shared" ca="1" si="409"/>
        <v>1.2256509784248557</v>
      </c>
      <c r="W937" s="304">
        <f t="shared" ca="1" si="410"/>
        <v>52.213749372567911</v>
      </c>
      <c r="Y937" s="314" t="str">
        <f t="shared" ca="1" si="428"/>
        <v/>
      </c>
      <c r="Z937" s="315" t="str">
        <f t="shared" ca="1" si="429"/>
        <v/>
      </c>
      <c r="AA937" s="316" t="str">
        <f t="shared" ca="1" si="430"/>
        <v/>
      </c>
      <c r="AC937" s="310" t="e">
        <f t="shared" ca="1" si="431"/>
        <v>#N/A</v>
      </c>
      <c r="AD937" s="323" t="e">
        <f t="shared" ca="1" si="432"/>
        <v>#N/A</v>
      </c>
      <c r="AE937" s="324" t="e">
        <f t="shared" ca="1" si="411"/>
        <v>#N/A</v>
      </c>
      <c r="AG937" s="306">
        <f t="shared" ca="1" si="433"/>
        <v>1.3123166968116919</v>
      </c>
      <c r="AH937" s="304">
        <f t="shared" ca="1" si="434"/>
        <v>-8.4872525140355428</v>
      </c>
    </row>
    <row r="938" spans="1:34" x14ac:dyDescent="0.2">
      <c r="A938" s="347">
        <f t="shared" ca="1" si="412"/>
        <v>1E-4</v>
      </c>
      <c r="B938" s="304">
        <f t="shared" ca="1" si="413"/>
        <v>41.416000000000807</v>
      </c>
      <c r="D938" s="306">
        <f t="shared" ca="1" si="414"/>
        <v>-0.39128122131024395</v>
      </c>
      <c r="E938" s="307">
        <f t="shared" ca="1" si="415"/>
        <v>-1.3317437780714503</v>
      </c>
      <c r="F938" s="304">
        <f t="shared" ca="1" si="416"/>
        <v>1.3880354767015346</v>
      </c>
      <c r="G938" s="306">
        <f t="shared" ca="1" si="417"/>
        <v>6.2276894554730271</v>
      </c>
      <c r="H938" s="307">
        <f t="shared" ca="1" si="418"/>
        <v>-134.94215373836215</v>
      </c>
      <c r="I938" s="304">
        <f t="shared" ca="1" si="419"/>
        <v>135.08578375055453</v>
      </c>
      <c r="J938" s="306">
        <f t="shared" ca="1" si="420"/>
        <v>568.62651553779426</v>
      </c>
      <c r="K938" s="307">
        <f t="shared" ca="1" si="421"/>
        <v>-5.3261921864087682</v>
      </c>
      <c r="L938" s="304">
        <f t="shared" ca="1" si="406"/>
        <v>568.65145959177835</v>
      </c>
      <c r="M938" s="306">
        <f t="shared" ca="1" si="422"/>
        <v>-1.5246782422755594</v>
      </c>
      <c r="N938" s="304">
        <f t="shared" ca="1" si="423"/>
        <v>-87.357628397814366</v>
      </c>
      <c r="P938" s="310">
        <f t="shared" ca="1" si="424"/>
        <v>23</v>
      </c>
      <c r="Q938" s="304">
        <f t="shared" ca="1" si="425"/>
        <v>0</v>
      </c>
      <c r="R938" s="306">
        <f t="shared" ca="1" si="426"/>
        <v>0</v>
      </c>
      <c r="S938" s="307">
        <f t="shared" ca="1" si="427"/>
        <v>6.1519999999999921</v>
      </c>
      <c r="T938" s="304">
        <f t="shared" ca="1" si="407"/>
        <v>60.351119999999923</v>
      </c>
      <c r="U938" s="311">
        <f t="shared" ca="1" si="408"/>
        <v>0</v>
      </c>
      <c r="V938" s="306">
        <f t="shared" ca="1" si="409"/>
        <v>1.2256526323451002</v>
      </c>
      <c r="W938" s="304">
        <f t="shared" ca="1" si="410"/>
        <v>52.213921277177796</v>
      </c>
      <c r="Y938" s="314" t="str">
        <f t="shared" ca="1" si="428"/>
        <v/>
      </c>
      <c r="Z938" s="315" t="str">
        <f t="shared" ca="1" si="429"/>
        <v/>
      </c>
      <c r="AA938" s="316" t="str">
        <f t="shared" ca="1" si="430"/>
        <v/>
      </c>
      <c r="AC938" s="310" t="e">
        <f t="shared" ca="1" si="431"/>
        <v>#N/A</v>
      </c>
      <c r="AD938" s="323" t="e">
        <f t="shared" ca="1" si="432"/>
        <v>#N/A</v>
      </c>
      <c r="AE938" s="324" t="e">
        <f t="shared" ca="1" si="411"/>
        <v>#N/A</v>
      </c>
      <c r="AG938" s="306">
        <f t="shared" ca="1" si="433"/>
        <v>1.31228890508471</v>
      </c>
      <c r="AH938" s="304">
        <f t="shared" ca="1" si="434"/>
        <v>-8.48728045717945</v>
      </c>
    </row>
    <row r="939" spans="1:34" x14ac:dyDescent="0.2">
      <c r="A939" s="347">
        <f t="shared" ca="1" si="412"/>
        <v>1E-4</v>
      </c>
      <c r="B939" s="304">
        <f t="shared" ca="1" si="413"/>
        <v>41.41610000000081</v>
      </c>
      <c r="D939" s="306">
        <f t="shared" ca="1" si="414"/>
        <v>-0.39127967104231387</v>
      </c>
      <c r="E939" s="307">
        <f t="shared" ca="1" si="415"/>
        <v>-1.3317157339009817</v>
      </c>
      <c r="F939" s="304">
        <f t="shared" ca="1" si="416"/>
        <v>1.3880081328617682</v>
      </c>
      <c r="G939" s="306">
        <f t="shared" ca="1" si="417"/>
        <v>6.2276503275059225</v>
      </c>
      <c r="H939" s="307">
        <f t="shared" ca="1" si="418"/>
        <v>-134.94228690993555</v>
      </c>
      <c r="I939" s="304">
        <f t="shared" ca="1" si="419"/>
        <v>135.08591497667345</v>
      </c>
      <c r="J939" s="306">
        <f t="shared" ca="1" si="420"/>
        <v>568.62651553779426</v>
      </c>
      <c r="K939" s="307">
        <f t="shared" ca="1" si="421"/>
        <v>-5.3396864084411835</v>
      </c>
      <c r="L939" s="304">
        <f t="shared" ca="1" si="406"/>
        <v>568.65158614356631</v>
      </c>
      <c r="M939" s="306">
        <f t="shared" ca="1" si="422"/>
        <v>-1.5246785770684599</v>
      </c>
      <c r="N939" s="304">
        <f t="shared" ca="1" si="423"/>
        <v>-87.357647580034566</v>
      </c>
      <c r="P939" s="310">
        <f t="shared" ca="1" si="424"/>
        <v>23</v>
      </c>
      <c r="Q939" s="304">
        <f t="shared" ca="1" si="425"/>
        <v>0</v>
      </c>
      <c r="R939" s="306">
        <f t="shared" ca="1" si="426"/>
        <v>0</v>
      </c>
      <c r="S939" s="307">
        <f t="shared" ca="1" si="427"/>
        <v>6.1519999999999921</v>
      </c>
      <c r="T939" s="304">
        <f t="shared" ca="1" si="407"/>
        <v>60.351119999999923</v>
      </c>
      <c r="U939" s="311">
        <f t="shared" ca="1" si="408"/>
        <v>0</v>
      </c>
      <c r="V939" s="306">
        <f t="shared" ca="1" si="409"/>
        <v>1.2256542862692092</v>
      </c>
      <c r="W939" s="304">
        <f t="shared" ca="1" si="410"/>
        <v>52.214093180176221</v>
      </c>
      <c r="Y939" s="314" t="str">
        <f t="shared" ca="1" si="428"/>
        <v/>
      </c>
      <c r="Z939" s="315" t="str">
        <f t="shared" ca="1" si="429"/>
        <v/>
      </c>
      <c r="AA939" s="316" t="str">
        <f t="shared" ca="1" si="430"/>
        <v/>
      </c>
      <c r="AC939" s="310" t="e">
        <f t="shared" ca="1" si="431"/>
        <v>#N/A</v>
      </c>
      <c r="AD939" s="323" t="e">
        <f t="shared" ca="1" si="432"/>
        <v>#N/A</v>
      </c>
      <c r="AE939" s="324" t="e">
        <f t="shared" ca="1" si="411"/>
        <v>#N/A</v>
      </c>
      <c r="AG939" s="306">
        <f t="shared" ca="1" si="433"/>
        <v>1.3122611136173177</v>
      </c>
      <c r="AH939" s="304">
        <f t="shared" ca="1" si="434"/>
        <v>-8.487308400061421</v>
      </c>
    </row>
    <row r="940" spans="1:34" x14ac:dyDescent="0.2">
      <c r="A940" s="347">
        <f t="shared" ca="1" si="412"/>
        <v>1E-4</v>
      </c>
      <c r="B940" s="304">
        <f t="shared" ca="1" si="413"/>
        <v>41.416200000000813</v>
      </c>
      <c r="D940" s="306">
        <f t="shared" ca="1" si="414"/>
        <v>-0.39127812076692309</v>
      </c>
      <c r="E940" s="307">
        <f t="shared" ca="1" si="415"/>
        <v>-1.331687689993343</v>
      </c>
      <c r="F940" s="304">
        <f t="shared" ca="1" si="416"/>
        <v>1.3879807893017471</v>
      </c>
      <c r="G940" s="306">
        <f t="shared" ca="1" si="417"/>
        <v>6.2276111996938459</v>
      </c>
      <c r="H940" s="307">
        <f t="shared" ca="1" si="418"/>
        <v>-134.94242007870454</v>
      </c>
      <c r="I940" s="304">
        <f t="shared" ca="1" si="419"/>
        <v>135.08604620001327</v>
      </c>
      <c r="J940" s="306">
        <f t="shared" ca="1" si="420"/>
        <v>568.62651553779426</v>
      </c>
      <c r="K940" s="307">
        <f t="shared" ca="1" si="421"/>
        <v>-5.3531806437906155</v>
      </c>
      <c r="L940" s="304">
        <f t="shared" ca="1" si="406"/>
        <v>568.65171301567227</v>
      </c>
      <c r="M940" s="306">
        <f t="shared" ca="1" si="422"/>
        <v>-1.5246789118586066</v>
      </c>
      <c r="N940" s="304">
        <f t="shared" ca="1" si="423"/>
        <v>-87.357666762096997</v>
      </c>
      <c r="P940" s="310">
        <f t="shared" ca="1" si="424"/>
        <v>23</v>
      </c>
      <c r="Q940" s="304">
        <f t="shared" ca="1" si="425"/>
        <v>0</v>
      </c>
      <c r="R940" s="306">
        <f t="shared" ca="1" si="426"/>
        <v>0</v>
      </c>
      <c r="S940" s="307">
        <f t="shared" ca="1" si="427"/>
        <v>6.1519999999999921</v>
      </c>
      <c r="T940" s="304">
        <f t="shared" ca="1" si="407"/>
        <v>60.351119999999923</v>
      </c>
      <c r="U940" s="311">
        <f t="shared" ca="1" si="408"/>
        <v>0</v>
      </c>
      <c r="V940" s="306">
        <f t="shared" ca="1" si="409"/>
        <v>1.2256559401971827</v>
      </c>
      <c r="W940" s="304">
        <f t="shared" ca="1" si="410"/>
        <v>52.214265081563205</v>
      </c>
      <c r="Y940" s="314" t="str">
        <f t="shared" ca="1" si="428"/>
        <v/>
      </c>
      <c r="Z940" s="315" t="str">
        <f t="shared" ca="1" si="429"/>
        <v/>
      </c>
      <c r="AA940" s="316" t="str">
        <f t="shared" ca="1" si="430"/>
        <v/>
      </c>
      <c r="AC940" s="310" t="e">
        <f t="shared" ca="1" si="431"/>
        <v>#N/A</v>
      </c>
      <c r="AD940" s="323" t="e">
        <f t="shared" ca="1" si="432"/>
        <v>#N/A</v>
      </c>
      <c r="AE940" s="324" t="e">
        <f t="shared" ca="1" si="411"/>
        <v>#N/A</v>
      </c>
      <c r="AG940" s="306">
        <f t="shared" ca="1" si="433"/>
        <v>1.3122333224095257</v>
      </c>
      <c r="AH940" s="304">
        <f t="shared" ca="1" si="434"/>
        <v>-8.4873363426814503</v>
      </c>
    </row>
    <row r="941" spans="1:34" x14ac:dyDescent="0.2">
      <c r="A941" s="347">
        <f t="shared" ca="1" si="412"/>
        <v>1E-4</v>
      </c>
      <c r="B941" s="304">
        <f t="shared" ca="1" si="413"/>
        <v>41.416300000000817</v>
      </c>
      <c r="D941" s="306">
        <f t="shared" ca="1" si="414"/>
        <v>-0.39127657048407044</v>
      </c>
      <c r="E941" s="307">
        <f t="shared" ca="1" si="415"/>
        <v>-1.3316596463485251</v>
      </c>
      <c r="F941" s="304">
        <f t="shared" ca="1" si="416"/>
        <v>1.3879534460214631</v>
      </c>
      <c r="G941" s="306">
        <f t="shared" ca="1" si="417"/>
        <v>6.2275720720367973</v>
      </c>
      <c r="H941" s="307">
        <f t="shared" ca="1" si="418"/>
        <v>-134.94255324466917</v>
      </c>
      <c r="I941" s="304">
        <f t="shared" ca="1" si="419"/>
        <v>135.08617742057396</v>
      </c>
      <c r="J941" s="306">
        <f t="shared" ca="1" si="420"/>
        <v>568.62651553779426</v>
      </c>
      <c r="K941" s="307">
        <f t="shared" ca="1" si="421"/>
        <v>-5.3666748924567846</v>
      </c>
      <c r="L941" s="304">
        <f t="shared" ca="1" si="406"/>
        <v>568.65184020809659</v>
      </c>
      <c r="M941" s="306">
        <f t="shared" ca="1" si="422"/>
        <v>-1.5246792466459995</v>
      </c>
      <c r="N941" s="304">
        <f t="shared" ca="1" si="423"/>
        <v>-87.357685944001645</v>
      </c>
      <c r="P941" s="310">
        <f t="shared" ca="1" si="424"/>
        <v>23</v>
      </c>
      <c r="Q941" s="304">
        <f t="shared" ca="1" si="425"/>
        <v>0</v>
      </c>
      <c r="R941" s="306">
        <f t="shared" ca="1" si="426"/>
        <v>0</v>
      </c>
      <c r="S941" s="307">
        <f t="shared" ca="1" si="427"/>
        <v>6.1519999999999921</v>
      </c>
      <c r="T941" s="304">
        <f t="shared" ca="1" si="407"/>
        <v>60.351119999999923</v>
      </c>
      <c r="U941" s="311">
        <f t="shared" ca="1" si="408"/>
        <v>0</v>
      </c>
      <c r="V941" s="306">
        <f t="shared" ca="1" si="409"/>
        <v>1.2256575941290209</v>
      </c>
      <c r="W941" s="304">
        <f t="shared" ca="1" si="410"/>
        <v>52.214436981338736</v>
      </c>
      <c r="Y941" s="314" t="str">
        <f t="shared" ca="1" si="428"/>
        <v/>
      </c>
      <c r="Z941" s="315" t="str">
        <f t="shared" ca="1" si="429"/>
        <v/>
      </c>
      <c r="AA941" s="316" t="str">
        <f t="shared" ca="1" si="430"/>
        <v/>
      </c>
      <c r="AC941" s="310" t="e">
        <f t="shared" ca="1" si="431"/>
        <v>#N/A</v>
      </c>
      <c r="AD941" s="323" t="e">
        <f t="shared" ca="1" si="432"/>
        <v>#N/A</v>
      </c>
      <c r="AE941" s="324" t="e">
        <f t="shared" ca="1" si="411"/>
        <v>#N/A</v>
      </c>
      <c r="AG941" s="306">
        <f t="shared" ca="1" si="433"/>
        <v>1.3122055314613235</v>
      </c>
      <c r="AH941" s="304">
        <f t="shared" ca="1" si="434"/>
        <v>-8.4873642850395434</v>
      </c>
    </row>
    <row r="942" spans="1:34" x14ac:dyDescent="0.2">
      <c r="A942" s="347">
        <f t="shared" ca="1" si="412"/>
        <v>1E-4</v>
      </c>
      <c r="B942" s="304">
        <f t="shared" ca="1" si="413"/>
        <v>41.41640000000082</v>
      </c>
      <c r="D942" s="306">
        <f t="shared" ca="1" si="414"/>
        <v>-0.39127502019375632</v>
      </c>
      <c r="E942" s="307">
        <f t="shared" ca="1" si="415"/>
        <v>-1.3316316029665352</v>
      </c>
      <c r="F942" s="304">
        <f t="shared" ca="1" si="416"/>
        <v>1.3879261030209238</v>
      </c>
      <c r="G942" s="306">
        <f t="shared" ca="1" si="417"/>
        <v>6.2275329445347776</v>
      </c>
      <c r="H942" s="307">
        <f t="shared" ca="1" si="418"/>
        <v>-134.94268640782946</v>
      </c>
      <c r="I942" s="304">
        <f t="shared" ca="1" si="419"/>
        <v>135.0863086383556</v>
      </c>
      <c r="J942" s="306">
        <f t="shared" ca="1" si="420"/>
        <v>568.62651553779426</v>
      </c>
      <c r="K942" s="307">
        <f t="shared" ca="1" si="421"/>
        <v>-5.3801691544394092</v>
      </c>
      <c r="L942" s="304">
        <f t="shared" ca="1" si="406"/>
        <v>568.65196772084039</v>
      </c>
      <c r="M942" s="306">
        <f t="shared" ca="1" si="422"/>
        <v>-1.5246795814306384</v>
      </c>
      <c r="N942" s="304">
        <f t="shared" ca="1" si="423"/>
        <v>-87.35770512574851</v>
      </c>
      <c r="P942" s="310">
        <f t="shared" ca="1" si="424"/>
        <v>23</v>
      </c>
      <c r="Q942" s="304">
        <f t="shared" ca="1" si="425"/>
        <v>0</v>
      </c>
      <c r="R942" s="306">
        <f t="shared" ca="1" si="426"/>
        <v>0</v>
      </c>
      <c r="S942" s="307">
        <f t="shared" ca="1" si="427"/>
        <v>6.1519999999999921</v>
      </c>
      <c r="T942" s="304">
        <f t="shared" ca="1" si="407"/>
        <v>60.351119999999923</v>
      </c>
      <c r="U942" s="311">
        <f t="shared" ca="1" si="408"/>
        <v>0</v>
      </c>
      <c r="V942" s="306">
        <f t="shared" ca="1" si="409"/>
        <v>1.2256592480647239</v>
      </c>
      <c r="W942" s="304">
        <f t="shared" ca="1" si="410"/>
        <v>52.214608879502862</v>
      </c>
      <c r="Y942" s="314" t="str">
        <f t="shared" ca="1" si="428"/>
        <v/>
      </c>
      <c r="Z942" s="315" t="str">
        <f t="shared" ca="1" si="429"/>
        <v/>
      </c>
      <c r="AA942" s="316" t="str">
        <f t="shared" ca="1" si="430"/>
        <v/>
      </c>
      <c r="AC942" s="310" t="e">
        <f t="shared" ca="1" si="431"/>
        <v>#N/A</v>
      </c>
      <c r="AD942" s="323" t="e">
        <f t="shared" ca="1" si="432"/>
        <v>#N/A</v>
      </c>
      <c r="AE942" s="324" t="e">
        <f t="shared" ca="1" si="411"/>
        <v>#N/A</v>
      </c>
      <c r="AG942" s="306">
        <f t="shared" ca="1" si="433"/>
        <v>1.3121777407727198</v>
      </c>
      <c r="AH942" s="304">
        <f t="shared" ca="1" si="434"/>
        <v>-8.4873922271356967</v>
      </c>
    </row>
    <row r="943" spans="1:34" x14ac:dyDescent="0.2">
      <c r="A943" s="347">
        <f t="shared" ca="1" si="412"/>
        <v>1E-4</v>
      </c>
      <c r="B943" s="304">
        <f t="shared" ca="1" si="413"/>
        <v>41.416500000000823</v>
      </c>
      <c r="D943" s="306">
        <f t="shared" ca="1" si="414"/>
        <v>-0.39127346989598338</v>
      </c>
      <c r="E943" s="307">
        <f t="shared" ca="1" si="415"/>
        <v>-1.3316035598473643</v>
      </c>
      <c r="F943" s="304">
        <f t="shared" ca="1" si="416"/>
        <v>1.3878987603001223</v>
      </c>
      <c r="G943" s="306">
        <f t="shared" ca="1" si="417"/>
        <v>6.2274938171877876</v>
      </c>
      <c r="H943" s="307">
        <f t="shared" ca="1" si="418"/>
        <v>-134.94281956818543</v>
      </c>
      <c r="I943" s="304">
        <f t="shared" ca="1" si="419"/>
        <v>135.0864398533582</v>
      </c>
      <c r="J943" s="306">
        <f t="shared" ca="1" si="420"/>
        <v>568.62651553779426</v>
      </c>
      <c r="K943" s="307">
        <f t="shared" ca="1" si="421"/>
        <v>-5.3936634297382096</v>
      </c>
      <c r="L943" s="304">
        <f t="shared" ca="1" si="406"/>
        <v>568.65209555390425</v>
      </c>
      <c r="M943" s="306">
        <f t="shared" ca="1" si="422"/>
        <v>-1.5246799162125237</v>
      </c>
      <c r="N943" s="304">
        <f t="shared" ca="1" si="423"/>
        <v>-87.357724307337591</v>
      </c>
      <c r="P943" s="310">
        <f t="shared" ca="1" si="424"/>
        <v>23</v>
      </c>
      <c r="Q943" s="304">
        <f t="shared" ca="1" si="425"/>
        <v>0</v>
      </c>
      <c r="R943" s="306">
        <f t="shared" ca="1" si="426"/>
        <v>0</v>
      </c>
      <c r="S943" s="307">
        <f t="shared" ca="1" si="427"/>
        <v>6.1519999999999921</v>
      </c>
      <c r="T943" s="304">
        <f t="shared" ca="1" si="407"/>
        <v>60.351119999999923</v>
      </c>
      <c r="U943" s="311">
        <f t="shared" ca="1" si="408"/>
        <v>0</v>
      </c>
      <c r="V943" s="306">
        <f t="shared" ca="1" si="409"/>
        <v>1.2256609020042917</v>
      </c>
      <c r="W943" s="304">
        <f t="shared" ca="1" si="410"/>
        <v>52.214780776055576</v>
      </c>
      <c r="Y943" s="314" t="str">
        <f t="shared" ca="1" si="428"/>
        <v/>
      </c>
      <c r="Z943" s="315" t="str">
        <f t="shared" ca="1" si="429"/>
        <v/>
      </c>
      <c r="AA943" s="316" t="str">
        <f t="shared" ca="1" si="430"/>
        <v/>
      </c>
      <c r="AC943" s="310" t="e">
        <f t="shared" ca="1" si="431"/>
        <v>#N/A</v>
      </c>
      <c r="AD943" s="323" t="e">
        <f t="shared" ca="1" si="432"/>
        <v>#N/A</v>
      </c>
      <c r="AE943" s="324" t="e">
        <f t="shared" ca="1" si="411"/>
        <v>#N/A</v>
      </c>
      <c r="AG943" s="306">
        <f t="shared" ca="1" si="433"/>
        <v>1.312149950343704</v>
      </c>
      <c r="AH943" s="304">
        <f t="shared" ca="1" si="434"/>
        <v>-8.4874201689699174</v>
      </c>
    </row>
    <row r="944" spans="1:34" x14ac:dyDescent="0.2">
      <c r="A944" s="347">
        <f t="shared" ca="1" si="412"/>
        <v>1E-4</v>
      </c>
      <c r="B944" s="304">
        <f t="shared" ca="1" si="413"/>
        <v>41.416600000000827</v>
      </c>
      <c r="D944" s="306">
        <f t="shared" ca="1" si="414"/>
        <v>-0.39127191959074831</v>
      </c>
      <c r="E944" s="307">
        <f t="shared" ca="1" si="415"/>
        <v>-1.3315755169910126</v>
      </c>
      <c r="F944" s="304">
        <f t="shared" ca="1" si="416"/>
        <v>1.3878714178590579</v>
      </c>
      <c r="G944" s="306">
        <f t="shared" ca="1" si="417"/>
        <v>6.2274546899958283</v>
      </c>
      <c r="H944" s="307">
        <f t="shared" ca="1" si="418"/>
        <v>-134.94295272573711</v>
      </c>
      <c r="I944" s="304">
        <f t="shared" ca="1" si="419"/>
        <v>135.08657106558178</v>
      </c>
      <c r="J944" s="306">
        <f t="shared" ca="1" si="420"/>
        <v>568.62651553779426</v>
      </c>
      <c r="K944" s="307">
        <f t="shared" ca="1" si="421"/>
        <v>-5.4071577183529058</v>
      </c>
      <c r="L944" s="304">
        <f t="shared" ca="1" si="406"/>
        <v>568.65222370728884</v>
      </c>
      <c r="M944" s="306">
        <f t="shared" ca="1" si="422"/>
        <v>-1.5246802509916551</v>
      </c>
      <c r="N944" s="304">
        <f t="shared" ca="1" si="423"/>
        <v>-87.35774348876889</v>
      </c>
      <c r="P944" s="310">
        <f t="shared" ca="1" si="424"/>
        <v>23</v>
      </c>
      <c r="Q944" s="304">
        <f t="shared" ca="1" si="425"/>
        <v>0</v>
      </c>
      <c r="R944" s="306">
        <f t="shared" ca="1" si="426"/>
        <v>0</v>
      </c>
      <c r="S944" s="307">
        <f t="shared" ca="1" si="427"/>
        <v>6.1519999999999921</v>
      </c>
      <c r="T944" s="304">
        <f t="shared" ca="1" si="407"/>
        <v>60.351119999999923</v>
      </c>
      <c r="U944" s="311">
        <f t="shared" ca="1" si="408"/>
        <v>0</v>
      </c>
      <c r="V944" s="306">
        <f t="shared" ca="1" si="409"/>
        <v>1.2256625559477237</v>
      </c>
      <c r="W944" s="304">
        <f t="shared" ca="1" si="410"/>
        <v>52.214952670996858</v>
      </c>
      <c r="Y944" s="314" t="str">
        <f t="shared" ca="1" si="428"/>
        <v/>
      </c>
      <c r="Z944" s="315" t="str">
        <f t="shared" ca="1" si="429"/>
        <v/>
      </c>
      <c r="AA944" s="316" t="str">
        <f t="shared" ca="1" si="430"/>
        <v/>
      </c>
      <c r="AC944" s="310" t="e">
        <f t="shared" ca="1" si="431"/>
        <v>#N/A</v>
      </c>
      <c r="AD944" s="323" t="e">
        <f t="shared" ca="1" si="432"/>
        <v>#N/A</v>
      </c>
      <c r="AE944" s="324" t="e">
        <f t="shared" ca="1" si="411"/>
        <v>#N/A</v>
      </c>
      <c r="AG944" s="306">
        <f t="shared" ca="1" si="433"/>
        <v>1.3121221601742761</v>
      </c>
      <c r="AH944" s="304">
        <f t="shared" ca="1" si="434"/>
        <v>-8.4874481105422053</v>
      </c>
    </row>
    <row r="945" spans="1:34" x14ac:dyDescent="0.2">
      <c r="A945" s="347">
        <f t="shared" ca="1" si="412"/>
        <v>1E-4</v>
      </c>
      <c r="B945" s="304">
        <f t="shared" ca="1" si="413"/>
        <v>41.41670000000083</v>
      </c>
      <c r="D945" s="306">
        <f t="shared" ca="1" si="414"/>
        <v>-0.39127036927805525</v>
      </c>
      <c r="E945" s="307">
        <f t="shared" ca="1" si="415"/>
        <v>-1.3315474743974853</v>
      </c>
      <c r="F945" s="304">
        <f t="shared" ca="1" si="416"/>
        <v>1.3878440756977377</v>
      </c>
      <c r="G945" s="306">
        <f t="shared" ca="1" si="417"/>
        <v>6.2274155629589005</v>
      </c>
      <c r="H945" s="307">
        <f t="shared" ca="1" si="418"/>
        <v>-134.94308588048455</v>
      </c>
      <c r="I945" s="304">
        <f t="shared" ca="1" si="419"/>
        <v>135.08670227502637</v>
      </c>
      <c r="J945" s="306">
        <f t="shared" ca="1" si="420"/>
        <v>568.62651553779426</v>
      </c>
      <c r="K945" s="307">
        <f t="shared" ca="1" si="421"/>
        <v>-5.4206520202832165</v>
      </c>
      <c r="L945" s="304">
        <f t="shared" ca="1" si="406"/>
        <v>568.65235218099497</v>
      </c>
      <c r="M945" s="306">
        <f t="shared" ca="1" si="422"/>
        <v>-1.5246805857680326</v>
      </c>
      <c r="N945" s="304">
        <f t="shared" ca="1" si="423"/>
        <v>-87.357762670042391</v>
      </c>
      <c r="P945" s="310">
        <f t="shared" ca="1" si="424"/>
        <v>23</v>
      </c>
      <c r="Q945" s="304">
        <f t="shared" ca="1" si="425"/>
        <v>0</v>
      </c>
      <c r="R945" s="306">
        <f t="shared" ca="1" si="426"/>
        <v>0</v>
      </c>
      <c r="S945" s="307">
        <f t="shared" ca="1" si="427"/>
        <v>6.1519999999999921</v>
      </c>
      <c r="T945" s="304">
        <f t="shared" ca="1" si="407"/>
        <v>60.351119999999923</v>
      </c>
      <c r="U945" s="311">
        <f t="shared" ca="1" si="408"/>
        <v>0</v>
      </c>
      <c r="V945" s="306">
        <f t="shared" ca="1" si="409"/>
        <v>1.2256642098950201</v>
      </c>
      <c r="W945" s="304">
        <f t="shared" ca="1" si="410"/>
        <v>52.215124564326722</v>
      </c>
      <c r="Y945" s="314" t="str">
        <f t="shared" ca="1" si="428"/>
        <v/>
      </c>
      <c r="Z945" s="315" t="str">
        <f t="shared" ca="1" si="429"/>
        <v/>
      </c>
      <c r="AA945" s="316" t="str">
        <f t="shared" ca="1" si="430"/>
        <v/>
      </c>
      <c r="AC945" s="310" t="e">
        <f t="shared" ca="1" si="431"/>
        <v>#N/A</v>
      </c>
      <c r="AD945" s="323" t="e">
        <f t="shared" ca="1" si="432"/>
        <v>#N/A</v>
      </c>
      <c r="AE945" s="324" t="e">
        <f t="shared" ca="1" si="411"/>
        <v>#N/A</v>
      </c>
      <c r="AG945" s="306">
        <f t="shared" ca="1" si="433"/>
        <v>1.3120943702644414</v>
      </c>
      <c r="AH945" s="304">
        <f t="shared" ca="1" si="434"/>
        <v>-8.4874760518525569</v>
      </c>
    </row>
    <row r="946" spans="1:34" x14ac:dyDescent="0.2">
      <c r="A946" s="347">
        <f t="shared" ca="1" si="412"/>
        <v>1E-4</v>
      </c>
      <c r="B946" s="304">
        <f t="shared" ca="1" si="413"/>
        <v>41.416800000000833</v>
      </c>
      <c r="D946" s="306">
        <f t="shared" ca="1" si="414"/>
        <v>-0.39126881895790289</v>
      </c>
      <c r="E946" s="307">
        <f t="shared" ca="1" si="415"/>
        <v>-1.3315194320667771</v>
      </c>
      <c r="F946" s="304">
        <f t="shared" ca="1" si="416"/>
        <v>1.3878167338161567</v>
      </c>
      <c r="G946" s="306">
        <f t="shared" ca="1" si="417"/>
        <v>6.2273764360770043</v>
      </c>
      <c r="H946" s="307">
        <f t="shared" ca="1" si="418"/>
        <v>-134.94321903242775</v>
      </c>
      <c r="I946" s="304">
        <f t="shared" ca="1" si="419"/>
        <v>135.08683348169197</v>
      </c>
      <c r="J946" s="306">
        <f t="shared" ca="1" si="420"/>
        <v>568.62651553779426</v>
      </c>
      <c r="K946" s="307">
        <f t="shared" ca="1" si="421"/>
        <v>-5.4341463355288617</v>
      </c>
      <c r="L946" s="304">
        <f t="shared" ca="1" si="406"/>
        <v>568.65248097502331</v>
      </c>
      <c r="M946" s="306">
        <f t="shared" ca="1" si="422"/>
        <v>-1.5246809205416565</v>
      </c>
      <c r="N946" s="304">
        <f t="shared" ca="1" si="423"/>
        <v>-87.357781851158137</v>
      </c>
      <c r="P946" s="310">
        <f t="shared" ca="1" si="424"/>
        <v>23</v>
      </c>
      <c r="Q946" s="304">
        <f t="shared" ca="1" si="425"/>
        <v>0</v>
      </c>
      <c r="R946" s="306">
        <f t="shared" ca="1" si="426"/>
        <v>0</v>
      </c>
      <c r="S946" s="307">
        <f t="shared" ca="1" si="427"/>
        <v>6.1519999999999921</v>
      </c>
      <c r="T946" s="304">
        <f t="shared" ca="1" si="407"/>
        <v>60.351119999999923</v>
      </c>
      <c r="U946" s="311">
        <f t="shared" ca="1" si="408"/>
        <v>0</v>
      </c>
      <c r="V946" s="306">
        <f t="shared" ca="1" si="409"/>
        <v>1.2256658638461817</v>
      </c>
      <c r="W946" s="304">
        <f t="shared" ca="1" si="410"/>
        <v>52.215296456045188</v>
      </c>
      <c r="Y946" s="314" t="str">
        <f t="shared" ca="1" si="428"/>
        <v/>
      </c>
      <c r="Z946" s="315" t="str">
        <f t="shared" ca="1" si="429"/>
        <v/>
      </c>
      <c r="AA946" s="316" t="str">
        <f t="shared" ca="1" si="430"/>
        <v/>
      </c>
      <c r="AC946" s="310" t="e">
        <f t="shared" ca="1" si="431"/>
        <v>#N/A</v>
      </c>
      <c r="AD946" s="323" t="e">
        <f t="shared" ca="1" si="432"/>
        <v>#N/A</v>
      </c>
      <c r="AE946" s="324" t="e">
        <f t="shared" ca="1" si="411"/>
        <v>#N/A</v>
      </c>
      <c r="AG946" s="306">
        <f t="shared" ca="1" si="433"/>
        <v>1.3120665806141982</v>
      </c>
      <c r="AH946" s="304">
        <f t="shared" ca="1" si="434"/>
        <v>-8.4875039929009741</v>
      </c>
    </row>
    <row r="947" spans="1:34" x14ac:dyDescent="0.2">
      <c r="A947" s="347">
        <f t="shared" ca="1" si="412"/>
        <v>1E-4</v>
      </c>
      <c r="B947" s="304">
        <f t="shared" ca="1" si="413"/>
        <v>41.416900000000837</v>
      </c>
      <c r="D947" s="306">
        <f t="shared" ca="1" si="414"/>
        <v>-0.39126726863028999</v>
      </c>
      <c r="E947" s="307">
        <f t="shared" ca="1" si="415"/>
        <v>-1.3314913899988881</v>
      </c>
      <c r="F947" s="304">
        <f t="shared" ca="1" si="416"/>
        <v>1.3877893922143152</v>
      </c>
      <c r="G947" s="306">
        <f t="shared" ca="1" si="417"/>
        <v>6.2273373093501414</v>
      </c>
      <c r="H947" s="307">
        <f t="shared" ca="1" si="418"/>
        <v>-134.94335218156675</v>
      </c>
      <c r="I947" s="304">
        <f t="shared" ca="1" si="419"/>
        <v>135.08696468557866</v>
      </c>
      <c r="J947" s="306">
        <f t="shared" ca="1" si="420"/>
        <v>568.62651553779426</v>
      </c>
      <c r="K947" s="307">
        <f t="shared" ca="1" si="421"/>
        <v>-5.4476406640895618</v>
      </c>
      <c r="L947" s="304">
        <f t="shared" ca="1" si="406"/>
        <v>568.65261008937466</v>
      </c>
      <c r="M947" s="306">
        <f t="shared" ca="1" si="422"/>
        <v>-1.5246812553125269</v>
      </c>
      <c r="N947" s="304">
        <f t="shared" ca="1" si="423"/>
        <v>-87.357801032116114</v>
      </c>
      <c r="P947" s="310">
        <f t="shared" ca="1" si="424"/>
        <v>23</v>
      </c>
      <c r="Q947" s="304">
        <f t="shared" ca="1" si="425"/>
        <v>0</v>
      </c>
      <c r="R947" s="306">
        <f t="shared" ca="1" si="426"/>
        <v>0</v>
      </c>
      <c r="S947" s="307">
        <f t="shared" ca="1" si="427"/>
        <v>6.1519999999999921</v>
      </c>
      <c r="T947" s="304">
        <f t="shared" ca="1" si="407"/>
        <v>60.351119999999923</v>
      </c>
      <c r="U947" s="311">
        <f t="shared" ca="1" si="408"/>
        <v>0</v>
      </c>
      <c r="V947" s="306">
        <f t="shared" ca="1" si="409"/>
        <v>1.2256675178012069</v>
      </c>
      <c r="W947" s="304">
        <f t="shared" ca="1" si="410"/>
        <v>52.21546834615225</v>
      </c>
      <c r="Y947" s="314" t="str">
        <f t="shared" ca="1" si="428"/>
        <v/>
      </c>
      <c r="Z947" s="315" t="str">
        <f t="shared" ca="1" si="429"/>
        <v/>
      </c>
      <c r="AA947" s="316" t="str">
        <f t="shared" ca="1" si="430"/>
        <v/>
      </c>
      <c r="AC947" s="310" t="e">
        <f t="shared" ca="1" si="431"/>
        <v>#N/A</v>
      </c>
      <c r="AD947" s="323" t="e">
        <f t="shared" ca="1" si="432"/>
        <v>#N/A</v>
      </c>
      <c r="AE947" s="324" t="e">
        <f t="shared" ca="1" si="411"/>
        <v>#N/A</v>
      </c>
      <c r="AG947" s="306">
        <f t="shared" ca="1" si="433"/>
        <v>1.3120387912235412</v>
      </c>
      <c r="AH947" s="304">
        <f t="shared" ca="1" si="434"/>
        <v>-8.4875319336874604</v>
      </c>
    </row>
    <row r="948" spans="1:34" x14ac:dyDescent="0.2">
      <c r="A948" s="347">
        <f t="shared" ca="1" si="412"/>
        <v>1E-4</v>
      </c>
      <c r="B948" s="304">
        <f t="shared" ca="1" si="413"/>
        <v>41.41700000000084</v>
      </c>
      <c r="D948" s="306">
        <f t="shared" ca="1" si="414"/>
        <v>-0.39126571829521706</v>
      </c>
      <c r="E948" s="307">
        <f t="shared" ca="1" si="415"/>
        <v>-1.3314633481938163</v>
      </c>
      <c r="F948" s="304">
        <f t="shared" ca="1" si="416"/>
        <v>1.3877620508922126</v>
      </c>
      <c r="G948" s="306">
        <f t="shared" ca="1" si="417"/>
        <v>6.2272981827783118</v>
      </c>
      <c r="H948" s="307">
        <f t="shared" ca="1" si="418"/>
        <v>-134.94348532790158</v>
      </c>
      <c r="I948" s="304">
        <f t="shared" ca="1" si="419"/>
        <v>135.08709588668646</v>
      </c>
      <c r="J948" s="306">
        <f t="shared" ca="1" si="420"/>
        <v>568.62651553779426</v>
      </c>
      <c r="K948" s="307">
        <f t="shared" ca="1" si="421"/>
        <v>-5.4611350059650352</v>
      </c>
      <c r="L948" s="304">
        <f t="shared" ca="1" si="406"/>
        <v>568.65273952404971</v>
      </c>
      <c r="M948" s="306">
        <f t="shared" ca="1" si="422"/>
        <v>-1.5246815900806434</v>
      </c>
      <c r="N948" s="304">
        <f t="shared" ca="1" si="423"/>
        <v>-87.357820212916309</v>
      </c>
      <c r="P948" s="310">
        <f t="shared" ca="1" si="424"/>
        <v>23</v>
      </c>
      <c r="Q948" s="304">
        <f t="shared" ca="1" si="425"/>
        <v>0</v>
      </c>
      <c r="R948" s="306">
        <f t="shared" ca="1" si="426"/>
        <v>0</v>
      </c>
      <c r="S948" s="307">
        <f t="shared" ca="1" si="427"/>
        <v>6.1519999999999921</v>
      </c>
      <c r="T948" s="304">
        <f t="shared" ca="1" si="407"/>
        <v>60.351119999999923</v>
      </c>
      <c r="U948" s="311">
        <f t="shared" ca="1" si="408"/>
        <v>0</v>
      </c>
      <c r="V948" s="306">
        <f t="shared" ca="1" si="409"/>
        <v>1.2256691717600969</v>
      </c>
      <c r="W948" s="304">
        <f t="shared" ca="1" si="410"/>
        <v>52.215640234647935</v>
      </c>
      <c r="Y948" s="314" t="str">
        <f t="shared" ca="1" si="428"/>
        <v/>
      </c>
      <c r="Z948" s="315" t="str">
        <f t="shared" ca="1" si="429"/>
        <v/>
      </c>
      <c r="AA948" s="316" t="str">
        <f t="shared" ca="1" si="430"/>
        <v/>
      </c>
      <c r="AC948" s="310" t="e">
        <f t="shared" ca="1" si="431"/>
        <v>#N/A</v>
      </c>
      <c r="AD948" s="323" t="e">
        <f t="shared" ca="1" si="432"/>
        <v>#N/A</v>
      </c>
      <c r="AE948" s="324" t="e">
        <f t="shared" ca="1" si="411"/>
        <v>#N/A</v>
      </c>
      <c r="AG948" s="306">
        <f t="shared" ca="1" si="433"/>
        <v>1.3120110020924738</v>
      </c>
      <c r="AH948" s="304">
        <f t="shared" ca="1" si="434"/>
        <v>-8.4875598742120157</v>
      </c>
    </row>
    <row r="949" spans="1:34" x14ac:dyDescent="0.2">
      <c r="A949" s="347">
        <f t="shared" ca="1" si="412"/>
        <v>1E-4</v>
      </c>
      <c r="B949" s="304">
        <f t="shared" ca="1" si="413"/>
        <v>41.417100000000843</v>
      </c>
      <c r="D949" s="306">
        <f t="shared" ca="1" si="414"/>
        <v>-0.39126416795268654</v>
      </c>
      <c r="E949" s="307">
        <f t="shared" ca="1" si="415"/>
        <v>-1.3314353066515601</v>
      </c>
      <c r="F949" s="304">
        <f t="shared" ca="1" si="416"/>
        <v>1.387734709849848</v>
      </c>
      <c r="G949" s="306">
        <f t="shared" ca="1" si="417"/>
        <v>6.2272590563615164</v>
      </c>
      <c r="H949" s="307">
        <f t="shared" ca="1" si="418"/>
        <v>-134.94361847143225</v>
      </c>
      <c r="I949" s="304">
        <f t="shared" ca="1" si="419"/>
        <v>135.08722708501534</v>
      </c>
      <c r="J949" s="306">
        <f t="shared" ca="1" si="420"/>
        <v>568.62651553779426</v>
      </c>
      <c r="K949" s="307">
        <f t="shared" ca="1" si="421"/>
        <v>-5.4746293611550021</v>
      </c>
      <c r="L949" s="304">
        <f t="shared" ca="1" si="406"/>
        <v>568.65286927904913</v>
      </c>
      <c r="M949" s="306">
        <f t="shared" ca="1" si="422"/>
        <v>-1.5246819248460062</v>
      </c>
      <c r="N949" s="304">
        <f t="shared" ca="1" si="423"/>
        <v>-87.35783939355872</v>
      </c>
      <c r="P949" s="310">
        <f t="shared" ca="1" si="424"/>
        <v>23</v>
      </c>
      <c r="Q949" s="304">
        <f t="shared" ca="1" si="425"/>
        <v>0</v>
      </c>
      <c r="R949" s="306">
        <f t="shared" ca="1" si="426"/>
        <v>0</v>
      </c>
      <c r="S949" s="307">
        <f t="shared" ca="1" si="427"/>
        <v>6.1519999999999921</v>
      </c>
      <c r="T949" s="304">
        <f t="shared" ca="1" si="407"/>
        <v>60.351119999999923</v>
      </c>
      <c r="U949" s="311">
        <f t="shared" ca="1" si="408"/>
        <v>0</v>
      </c>
      <c r="V949" s="306">
        <f t="shared" ca="1" si="409"/>
        <v>1.2256708257228512</v>
      </c>
      <c r="W949" s="304">
        <f t="shared" ca="1" si="410"/>
        <v>52.215812121532224</v>
      </c>
      <c r="Y949" s="314" t="str">
        <f t="shared" ca="1" si="428"/>
        <v/>
      </c>
      <c r="Z949" s="315" t="str">
        <f t="shared" ca="1" si="429"/>
        <v/>
      </c>
      <c r="AA949" s="316" t="str">
        <f t="shared" ca="1" si="430"/>
        <v/>
      </c>
      <c r="AC949" s="310" t="e">
        <f t="shared" ca="1" si="431"/>
        <v>#N/A</v>
      </c>
      <c r="AD949" s="323" t="e">
        <f t="shared" ca="1" si="432"/>
        <v>#N/A</v>
      </c>
      <c r="AE949" s="324" t="e">
        <f t="shared" ca="1" si="411"/>
        <v>#N/A</v>
      </c>
      <c r="AG949" s="306">
        <f t="shared" ca="1" si="433"/>
        <v>1.3119832132209908</v>
      </c>
      <c r="AH949" s="304">
        <f t="shared" ca="1" si="434"/>
        <v>-8.4875878144746419</v>
      </c>
    </row>
    <row r="950" spans="1:34" x14ac:dyDescent="0.2">
      <c r="A950" s="347">
        <f t="shared" ca="1" si="412"/>
        <v>1E-4</v>
      </c>
      <c r="B950" s="304">
        <f t="shared" ca="1" si="413"/>
        <v>41.417200000000847</v>
      </c>
      <c r="D950" s="306">
        <f t="shared" ca="1" si="414"/>
        <v>-0.39126261760269898</v>
      </c>
      <c r="E950" s="307">
        <f t="shared" ca="1" si="415"/>
        <v>-1.3314072653721212</v>
      </c>
      <c r="F950" s="304">
        <f t="shared" ca="1" si="416"/>
        <v>1.3877073690872244</v>
      </c>
      <c r="G950" s="306">
        <f t="shared" ca="1" si="417"/>
        <v>6.2272199300997562</v>
      </c>
      <c r="H950" s="307">
        <f t="shared" ca="1" si="418"/>
        <v>-134.94375161215879</v>
      </c>
      <c r="I950" s="304">
        <f t="shared" ca="1" si="419"/>
        <v>135.08735828056538</v>
      </c>
      <c r="J950" s="306">
        <f t="shared" ca="1" si="420"/>
        <v>568.62651553779426</v>
      </c>
      <c r="K950" s="307">
        <f t="shared" ca="1" si="421"/>
        <v>-5.4881237296591818</v>
      </c>
      <c r="L950" s="304">
        <f t="shared" ca="1" si="406"/>
        <v>568.65299935437372</v>
      </c>
      <c r="M950" s="306">
        <f t="shared" ca="1" si="422"/>
        <v>-1.5246822596086156</v>
      </c>
      <c r="N950" s="304">
        <f t="shared" ca="1" si="423"/>
        <v>-87.357858574043377</v>
      </c>
      <c r="P950" s="310">
        <f t="shared" ca="1" si="424"/>
        <v>23</v>
      </c>
      <c r="Q950" s="304">
        <f t="shared" ca="1" si="425"/>
        <v>0</v>
      </c>
      <c r="R950" s="306">
        <f t="shared" ca="1" si="426"/>
        <v>0</v>
      </c>
      <c r="S950" s="307">
        <f t="shared" ca="1" si="427"/>
        <v>6.1519999999999921</v>
      </c>
      <c r="T950" s="304">
        <f t="shared" ca="1" si="407"/>
        <v>60.351119999999923</v>
      </c>
      <c r="U950" s="311">
        <f t="shared" ca="1" si="408"/>
        <v>0</v>
      </c>
      <c r="V950" s="306">
        <f t="shared" ca="1" si="409"/>
        <v>1.2256724796894702</v>
      </c>
      <c r="W950" s="304">
        <f t="shared" ca="1" si="410"/>
        <v>52.215984006805151</v>
      </c>
      <c r="Y950" s="314" t="str">
        <f t="shared" ca="1" si="428"/>
        <v/>
      </c>
      <c r="Z950" s="315" t="str">
        <f t="shared" ca="1" si="429"/>
        <v/>
      </c>
      <c r="AA950" s="316" t="str">
        <f t="shared" ca="1" si="430"/>
        <v/>
      </c>
      <c r="AC950" s="310" t="e">
        <f t="shared" ca="1" si="431"/>
        <v>#N/A</v>
      </c>
      <c r="AD950" s="323" t="e">
        <f t="shared" ca="1" si="432"/>
        <v>#N/A</v>
      </c>
      <c r="AE950" s="324" t="e">
        <f t="shared" ca="1" si="411"/>
        <v>#N/A</v>
      </c>
      <c r="AG950" s="306">
        <f t="shared" ca="1" si="433"/>
        <v>1.3119554246090939</v>
      </c>
      <c r="AH950" s="304">
        <f t="shared" ca="1" si="434"/>
        <v>-8.487615754475339</v>
      </c>
    </row>
    <row r="951" spans="1:34" x14ac:dyDescent="0.2">
      <c r="A951" s="347">
        <f t="shared" ca="1" si="412"/>
        <v>1E-4</v>
      </c>
      <c r="B951" s="304">
        <f t="shared" ca="1" si="413"/>
        <v>41.41730000000085</v>
      </c>
      <c r="D951" s="306">
        <f t="shared" ca="1" si="414"/>
        <v>-0.39126106724525134</v>
      </c>
      <c r="E951" s="307">
        <f t="shared" ca="1" si="415"/>
        <v>-1.3313792243554907</v>
      </c>
      <c r="F951" s="304">
        <f t="shared" ca="1" si="416"/>
        <v>1.3876800286043325</v>
      </c>
      <c r="G951" s="306">
        <f t="shared" ca="1" si="417"/>
        <v>6.2271808039930319</v>
      </c>
      <c r="H951" s="307">
        <f t="shared" ca="1" si="418"/>
        <v>-134.94388475008122</v>
      </c>
      <c r="I951" s="304">
        <f t="shared" ca="1" si="419"/>
        <v>135.08748947333657</v>
      </c>
      <c r="J951" s="306">
        <f t="shared" ca="1" si="420"/>
        <v>568.62651553779426</v>
      </c>
      <c r="K951" s="307">
        <f t="shared" ca="1" si="421"/>
        <v>-5.5016181114772937</v>
      </c>
      <c r="L951" s="304">
        <f t="shared" ca="1" si="406"/>
        <v>568.65312975002416</v>
      </c>
      <c r="M951" s="306">
        <f t="shared" ca="1" si="422"/>
        <v>-1.5246825943684714</v>
      </c>
      <c r="N951" s="304">
        <f t="shared" ca="1" si="423"/>
        <v>-87.357877754370264</v>
      </c>
      <c r="P951" s="310">
        <f t="shared" ca="1" si="424"/>
        <v>23</v>
      </c>
      <c r="Q951" s="304">
        <f t="shared" ca="1" si="425"/>
        <v>0</v>
      </c>
      <c r="R951" s="306">
        <f t="shared" ca="1" si="426"/>
        <v>0</v>
      </c>
      <c r="S951" s="307">
        <f t="shared" ca="1" si="427"/>
        <v>6.1519999999999921</v>
      </c>
      <c r="T951" s="304">
        <f t="shared" ca="1" si="407"/>
        <v>60.351119999999923</v>
      </c>
      <c r="U951" s="311">
        <f t="shared" ca="1" si="408"/>
        <v>0</v>
      </c>
      <c r="V951" s="306">
        <f t="shared" ca="1" si="409"/>
        <v>1.2256741336599537</v>
      </c>
      <c r="W951" s="304">
        <f t="shared" ca="1" si="410"/>
        <v>52.21615589046668</v>
      </c>
      <c r="Y951" s="314" t="str">
        <f t="shared" ca="1" si="428"/>
        <v/>
      </c>
      <c r="Z951" s="315" t="str">
        <f t="shared" ca="1" si="429"/>
        <v/>
      </c>
      <c r="AA951" s="316" t="str">
        <f t="shared" ca="1" si="430"/>
        <v/>
      </c>
      <c r="AC951" s="310" t="e">
        <f t="shared" ca="1" si="431"/>
        <v>#N/A</v>
      </c>
      <c r="AD951" s="323" t="e">
        <f t="shared" ca="1" si="432"/>
        <v>#N/A</v>
      </c>
      <c r="AE951" s="324" t="e">
        <f t="shared" ca="1" si="411"/>
        <v>#N/A</v>
      </c>
      <c r="AG951" s="306">
        <f t="shared" ca="1" si="433"/>
        <v>1.311927636256776</v>
      </c>
      <c r="AH951" s="304">
        <f t="shared" ca="1" si="434"/>
        <v>-8.4876436942141122</v>
      </c>
    </row>
    <row r="952" spans="1:34" x14ac:dyDescent="0.2">
      <c r="A952" s="347">
        <f t="shared" ca="1" si="412"/>
        <v>1E-4</v>
      </c>
      <c r="B952" s="304">
        <f t="shared" ca="1" si="413"/>
        <v>41.417400000000853</v>
      </c>
      <c r="D952" s="306">
        <f t="shared" ca="1" si="414"/>
        <v>-0.39125951688034555</v>
      </c>
      <c r="E952" s="307">
        <f t="shared" ca="1" si="415"/>
        <v>-1.3313511836016794</v>
      </c>
      <c r="F952" s="304">
        <f t="shared" ca="1" si="416"/>
        <v>1.3876526884011842</v>
      </c>
      <c r="G952" s="306">
        <f t="shared" ca="1" si="417"/>
        <v>6.2271416780413436</v>
      </c>
      <c r="H952" s="307">
        <f t="shared" ca="1" si="418"/>
        <v>-134.94401788519957</v>
      </c>
      <c r="I952" s="304">
        <f t="shared" ca="1" si="419"/>
        <v>135.08762066332898</v>
      </c>
      <c r="J952" s="306">
        <f t="shared" ca="1" si="420"/>
        <v>568.62651553779426</v>
      </c>
      <c r="K952" s="307">
        <f t="shared" ca="1" si="421"/>
        <v>-5.5151125066090581</v>
      </c>
      <c r="L952" s="304">
        <f t="shared" ca="1" si="406"/>
        <v>568.65326046600126</v>
      </c>
      <c r="M952" s="306">
        <f t="shared" ca="1" si="422"/>
        <v>-1.5246829291255737</v>
      </c>
      <c r="N952" s="304">
        <f t="shared" ca="1" si="423"/>
        <v>-87.357896934539397</v>
      </c>
      <c r="P952" s="310">
        <f t="shared" ca="1" si="424"/>
        <v>23</v>
      </c>
      <c r="Q952" s="304">
        <f t="shared" ca="1" si="425"/>
        <v>0</v>
      </c>
      <c r="R952" s="306">
        <f t="shared" ca="1" si="426"/>
        <v>0</v>
      </c>
      <c r="S952" s="307">
        <f t="shared" ca="1" si="427"/>
        <v>6.1519999999999921</v>
      </c>
      <c r="T952" s="304">
        <f t="shared" ca="1" si="407"/>
        <v>60.351119999999923</v>
      </c>
      <c r="U952" s="311">
        <f t="shared" ca="1" si="408"/>
        <v>0</v>
      </c>
      <c r="V952" s="306">
        <f t="shared" ca="1" si="409"/>
        <v>1.2256757876343012</v>
      </c>
      <c r="W952" s="304">
        <f t="shared" ca="1" si="410"/>
        <v>52.216327772516841</v>
      </c>
      <c r="Y952" s="314" t="str">
        <f t="shared" ca="1" si="428"/>
        <v/>
      </c>
      <c r="Z952" s="315" t="str">
        <f t="shared" ca="1" si="429"/>
        <v/>
      </c>
      <c r="AA952" s="316" t="str">
        <f t="shared" ca="1" si="430"/>
        <v/>
      </c>
      <c r="AC952" s="310" t="e">
        <f t="shared" ca="1" si="431"/>
        <v>#N/A</v>
      </c>
      <c r="AD952" s="323" t="e">
        <f t="shared" ca="1" si="432"/>
        <v>#N/A</v>
      </c>
      <c r="AE952" s="324" t="e">
        <f t="shared" ca="1" si="411"/>
        <v>#N/A</v>
      </c>
      <c r="AG952" s="306">
        <f t="shared" ca="1" si="433"/>
        <v>1.311899848164046</v>
      </c>
      <c r="AH952" s="304">
        <f t="shared" ca="1" si="434"/>
        <v>-8.4876716336909546</v>
      </c>
    </row>
    <row r="953" spans="1:34" x14ac:dyDescent="0.2">
      <c r="A953" s="347">
        <f t="shared" ca="1" si="412"/>
        <v>1E-4</v>
      </c>
      <c r="B953" s="304">
        <f t="shared" ca="1" si="413"/>
        <v>41.417500000000857</v>
      </c>
      <c r="D953" s="306">
        <f t="shared" ca="1" si="414"/>
        <v>-0.39125796650798245</v>
      </c>
      <c r="E953" s="307">
        <f t="shared" ca="1" si="415"/>
        <v>-1.3313231431106836</v>
      </c>
      <c r="F953" s="304">
        <f t="shared" ca="1" si="416"/>
        <v>1.3876253484777767</v>
      </c>
      <c r="G953" s="306">
        <f t="shared" ca="1" si="417"/>
        <v>6.227102552244693</v>
      </c>
      <c r="H953" s="307">
        <f t="shared" ca="1" si="418"/>
        <v>-134.94415101751389</v>
      </c>
      <c r="I953" s="304">
        <f t="shared" ca="1" si="419"/>
        <v>135.08775185054256</v>
      </c>
      <c r="J953" s="306">
        <f t="shared" ca="1" si="420"/>
        <v>568.62651553779426</v>
      </c>
      <c r="K953" s="307">
        <f t="shared" ca="1" si="421"/>
        <v>-5.5286069150541941</v>
      </c>
      <c r="L953" s="304">
        <f t="shared" ca="1" si="406"/>
        <v>568.65339150230568</v>
      </c>
      <c r="M953" s="306">
        <f t="shared" ca="1" si="422"/>
        <v>-1.5246832638799224</v>
      </c>
      <c r="N953" s="304">
        <f t="shared" ca="1" si="423"/>
        <v>-87.357916114550747</v>
      </c>
      <c r="P953" s="310">
        <f t="shared" ca="1" si="424"/>
        <v>23</v>
      </c>
      <c r="Q953" s="304">
        <f t="shared" ca="1" si="425"/>
        <v>0</v>
      </c>
      <c r="R953" s="306">
        <f t="shared" ca="1" si="426"/>
        <v>0</v>
      </c>
      <c r="S953" s="307">
        <f t="shared" ca="1" si="427"/>
        <v>6.1519999999999921</v>
      </c>
      <c r="T953" s="304">
        <f t="shared" ca="1" si="407"/>
        <v>60.351119999999923</v>
      </c>
      <c r="U953" s="311">
        <f t="shared" ca="1" si="408"/>
        <v>0</v>
      </c>
      <c r="V953" s="306">
        <f t="shared" ca="1" si="409"/>
        <v>1.2256774416125134</v>
      </c>
      <c r="W953" s="304">
        <f t="shared" ca="1" si="410"/>
        <v>52.216499652955619</v>
      </c>
      <c r="Y953" s="314" t="str">
        <f t="shared" ca="1" si="428"/>
        <v/>
      </c>
      <c r="Z953" s="315" t="str">
        <f t="shared" ca="1" si="429"/>
        <v/>
      </c>
      <c r="AA953" s="316" t="str">
        <f t="shared" ca="1" si="430"/>
        <v/>
      </c>
      <c r="AC953" s="310" t="e">
        <f t="shared" ca="1" si="431"/>
        <v>#N/A</v>
      </c>
      <c r="AD953" s="323" t="e">
        <f t="shared" ca="1" si="432"/>
        <v>#N/A</v>
      </c>
      <c r="AE953" s="324" t="e">
        <f t="shared" ca="1" si="411"/>
        <v>#N/A</v>
      </c>
      <c r="AG953" s="306">
        <f t="shared" ca="1" si="433"/>
        <v>1.3118720603309004</v>
      </c>
      <c r="AH953" s="304">
        <f t="shared" ca="1" si="434"/>
        <v>-8.4876995729058695</v>
      </c>
    </row>
    <row r="954" spans="1:34" x14ac:dyDescent="0.2">
      <c r="A954" s="347">
        <f t="shared" ca="1" si="412"/>
        <v>1E-4</v>
      </c>
      <c r="B954" s="304">
        <f t="shared" ca="1" si="413"/>
        <v>41.41760000000086</v>
      </c>
      <c r="D954" s="306">
        <f t="shared" ca="1" si="414"/>
        <v>-0.39125641612816237</v>
      </c>
      <c r="E954" s="307">
        <f t="shared" ca="1" si="415"/>
        <v>-1.3312951028824997</v>
      </c>
      <c r="F954" s="304">
        <f t="shared" ca="1" si="416"/>
        <v>1.3875980088341073</v>
      </c>
      <c r="G954" s="306">
        <f t="shared" ca="1" si="417"/>
        <v>6.2270634266030802</v>
      </c>
      <c r="H954" s="307">
        <f t="shared" ca="1" si="418"/>
        <v>-134.94428414702418</v>
      </c>
      <c r="I954" s="304">
        <f t="shared" ca="1" si="419"/>
        <v>135.08788303497744</v>
      </c>
      <c r="J954" s="306">
        <f t="shared" ca="1" si="420"/>
        <v>568.62651553779426</v>
      </c>
      <c r="K954" s="307">
        <f t="shared" ca="1" si="421"/>
        <v>-5.5421013368124212</v>
      </c>
      <c r="L954" s="304">
        <f t="shared" ca="1" si="406"/>
        <v>568.65352285893812</v>
      </c>
      <c r="M954" s="306">
        <f t="shared" ca="1" si="422"/>
        <v>-1.5246835986315177</v>
      </c>
      <c r="N954" s="304">
        <f t="shared" ca="1" si="423"/>
        <v>-87.357935294404342</v>
      </c>
      <c r="P954" s="310">
        <f t="shared" ca="1" si="424"/>
        <v>23</v>
      </c>
      <c r="Q954" s="304">
        <f t="shared" ca="1" si="425"/>
        <v>0</v>
      </c>
      <c r="R954" s="306">
        <f t="shared" ca="1" si="426"/>
        <v>0</v>
      </c>
      <c r="S954" s="307">
        <f t="shared" ca="1" si="427"/>
        <v>6.1519999999999921</v>
      </c>
      <c r="T954" s="304">
        <f t="shared" ca="1" si="407"/>
        <v>60.351119999999923</v>
      </c>
      <c r="U954" s="311">
        <f t="shared" ca="1" si="408"/>
        <v>0</v>
      </c>
      <c r="V954" s="306">
        <f t="shared" ca="1" si="409"/>
        <v>1.22567909559459</v>
      </c>
      <c r="W954" s="304">
        <f t="shared" ca="1" si="410"/>
        <v>52.216671531783078</v>
      </c>
      <c r="Y954" s="314" t="str">
        <f t="shared" ca="1" si="428"/>
        <v/>
      </c>
      <c r="Z954" s="315" t="str">
        <f t="shared" ca="1" si="429"/>
        <v/>
      </c>
      <c r="AA954" s="316" t="str">
        <f t="shared" ca="1" si="430"/>
        <v/>
      </c>
      <c r="AC954" s="310" t="e">
        <f t="shared" ca="1" si="431"/>
        <v>#N/A</v>
      </c>
      <c r="AD954" s="323" t="e">
        <f t="shared" ca="1" si="432"/>
        <v>#N/A</v>
      </c>
      <c r="AE954" s="324" t="e">
        <f t="shared" ca="1" si="411"/>
        <v>#N/A</v>
      </c>
      <c r="AG954" s="306">
        <f t="shared" ca="1" si="433"/>
        <v>1.3118442727573392</v>
      </c>
      <c r="AH954" s="304">
        <f t="shared" ca="1" si="434"/>
        <v>-8.4877275118588571</v>
      </c>
    </row>
    <row r="955" spans="1:34" x14ac:dyDescent="0.2">
      <c r="A955" s="347">
        <f t="shared" ca="1" si="412"/>
        <v>1E-4</v>
      </c>
      <c r="B955" s="304">
        <f t="shared" ca="1" si="413"/>
        <v>41.417700000000863</v>
      </c>
      <c r="D955" s="306">
        <f t="shared" ca="1" si="414"/>
        <v>-0.39125486574088447</v>
      </c>
      <c r="E955" s="307">
        <f t="shared" ca="1" si="415"/>
        <v>-1.3312670629171208</v>
      </c>
      <c r="F955" s="304">
        <f t="shared" ca="1" si="416"/>
        <v>1.3875706694701697</v>
      </c>
      <c r="G955" s="306">
        <f t="shared" ca="1" si="417"/>
        <v>6.2270243011165061</v>
      </c>
      <c r="H955" s="307">
        <f t="shared" ca="1" si="418"/>
        <v>-134.94441727373047</v>
      </c>
      <c r="I955" s="304">
        <f t="shared" ca="1" si="419"/>
        <v>135.08801421663352</v>
      </c>
      <c r="J955" s="306">
        <f t="shared" ca="1" si="420"/>
        <v>568.62651553779426</v>
      </c>
      <c r="K955" s="307">
        <f t="shared" ca="1" si="421"/>
        <v>-5.5555957718834588</v>
      </c>
      <c r="L955" s="304">
        <f t="shared" ca="1" si="406"/>
        <v>568.65365453589936</v>
      </c>
      <c r="M955" s="306">
        <f t="shared" ca="1" si="422"/>
        <v>-1.5246839333803595</v>
      </c>
      <c r="N955" s="304">
        <f t="shared" ca="1" si="423"/>
        <v>-87.357954474100168</v>
      </c>
      <c r="P955" s="310">
        <f t="shared" ca="1" si="424"/>
        <v>23</v>
      </c>
      <c r="Q955" s="304">
        <f t="shared" ca="1" si="425"/>
        <v>0</v>
      </c>
      <c r="R955" s="306">
        <f t="shared" ca="1" si="426"/>
        <v>0</v>
      </c>
      <c r="S955" s="307">
        <f t="shared" ca="1" si="427"/>
        <v>6.1519999999999921</v>
      </c>
      <c r="T955" s="304">
        <f t="shared" ca="1" si="407"/>
        <v>60.351119999999923</v>
      </c>
      <c r="U955" s="311">
        <f t="shared" ca="1" si="408"/>
        <v>0</v>
      </c>
      <c r="V955" s="306">
        <f t="shared" ca="1" si="409"/>
        <v>1.2256807495805302</v>
      </c>
      <c r="W955" s="304">
        <f t="shared" ca="1" si="410"/>
        <v>52.216843408999118</v>
      </c>
      <c r="Y955" s="314" t="str">
        <f t="shared" ca="1" si="428"/>
        <v/>
      </c>
      <c r="Z955" s="315" t="str">
        <f t="shared" ca="1" si="429"/>
        <v/>
      </c>
      <c r="AA955" s="316" t="str">
        <f t="shared" ca="1" si="430"/>
        <v/>
      </c>
      <c r="AC955" s="310" t="e">
        <f t="shared" ca="1" si="431"/>
        <v>#N/A</v>
      </c>
      <c r="AD955" s="323" t="e">
        <f t="shared" ca="1" si="432"/>
        <v>#N/A</v>
      </c>
      <c r="AE955" s="324" t="e">
        <f t="shared" ca="1" si="411"/>
        <v>#N/A</v>
      </c>
      <c r="AG955" s="306">
        <f t="shared" ca="1" si="433"/>
        <v>1.3118164854433534</v>
      </c>
      <c r="AH955" s="304">
        <f t="shared" ca="1" si="434"/>
        <v>-8.4877554505499262</v>
      </c>
    </row>
    <row r="956" spans="1:34" x14ac:dyDescent="0.2">
      <c r="A956" s="347">
        <f t="shared" ca="1" si="412"/>
        <v>1E-4</v>
      </c>
      <c r="B956" s="304">
        <f t="shared" ca="1" si="413"/>
        <v>41.417800000000867</v>
      </c>
      <c r="D956" s="306">
        <f t="shared" ca="1" si="414"/>
        <v>-0.39125331534615032</v>
      </c>
      <c r="E956" s="307">
        <f t="shared" ca="1" si="415"/>
        <v>-1.3312390232145646</v>
      </c>
      <c r="F956" s="304">
        <f t="shared" ca="1" si="416"/>
        <v>1.3875433303859819</v>
      </c>
      <c r="G956" s="306">
        <f t="shared" ca="1" si="417"/>
        <v>6.2269851757849715</v>
      </c>
      <c r="H956" s="307">
        <f t="shared" ca="1" si="418"/>
        <v>-134.94455039763278</v>
      </c>
      <c r="I956" s="304">
        <f t="shared" ca="1" si="419"/>
        <v>135.08814539551094</v>
      </c>
      <c r="J956" s="306">
        <f t="shared" ca="1" si="420"/>
        <v>568.62651553779426</v>
      </c>
      <c r="K956" s="307">
        <f t="shared" ca="1" si="421"/>
        <v>-5.5690902202670269</v>
      </c>
      <c r="L956" s="304">
        <f t="shared" ca="1" si="406"/>
        <v>568.65378653318999</v>
      </c>
      <c r="M956" s="306">
        <f t="shared" ca="1" si="422"/>
        <v>-1.5246842681264481</v>
      </c>
      <c r="N956" s="304">
        <f t="shared" ca="1" si="423"/>
        <v>-87.357973653638254</v>
      </c>
      <c r="P956" s="310">
        <f t="shared" ca="1" si="424"/>
        <v>23</v>
      </c>
      <c r="Q956" s="304">
        <f t="shared" ca="1" si="425"/>
        <v>0</v>
      </c>
      <c r="R956" s="306">
        <f t="shared" ca="1" si="426"/>
        <v>0</v>
      </c>
      <c r="S956" s="307">
        <f t="shared" ca="1" si="427"/>
        <v>6.1519999999999921</v>
      </c>
      <c r="T956" s="304">
        <f t="shared" ca="1" si="407"/>
        <v>60.351119999999923</v>
      </c>
      <c r="U956" s="311">
        <f t="shared" ca="1" si="408"/>
        <v>0</v>
      </c>
      <c r="V956" s="306">
        <f t="shared" ca="1" si="409"/>
        <v>1.2256824035703353</v>
      </c>
      <c r="W956" s="304">
        <f t="shared" ca="1" si="410"/>
        <v>52.217015284603846</v>
      </c>
      <c r="Y956" s="314" t="str">
        <f t="shared" ca="1" si="428"/>
        <v/>
      </c>
      <c r="Z956" s="315" t="str">
        <f t="shared" ca="1" si="429"/>
        <v/>
      </c>
      <c r="AA956" s="316" t="str">
        <f t="shared" ca="1" si="430"/>
        <v/>
      </c>
      <c r="AC956" s="310" t="e">
        <f t="shared" ca="1" si="431"/>
        <v>#N/A</v>
      </c>
      <c r="AD956" s="323" t="e">
        <f t="shared" ca="1" si="432"/>
        <v>#N/A</v>
      </c>
      <c r="AE956" s="324" t="e">
        <f t="shared" ca="1" si="411"/>
        <v>#N/A</v>
      </c>
      <c r="AG956" s="306">
        <f t="shared" ca="1" si="433"/>
        <v>1.3117886983889573</v>
      </c>
      <c r="AH956" s="304">
        <f t="shared" ca="1" si="434"/>
        <v>-8.4877833889790608</v>
      </c>
    </row>
    <row r="957" spans="1:34" x14ac:dyDescent="0.2">
      <c r="A957" s="347">
        <f t="shared" ca="1" si="412"/>
        <v>1E-4</v>
      </c>
      <c r="B957" s="304">
        <f t="shared" ca="1" si="413"/>
        <v>41.41790000000087</v>
      </c>
      <c r="D957" s="306">
        <f t="shared" ca="1" si="414"/>
        <v>-0.39125176494395753</v>
      </c>
      <c r="E957" s="307">
        <f t="shared" ca="1" si="415"/>
        <v>-1.3312109837748096</v>
      </c>
      <c r="F957" s="304">
        <f t="shared" ca="1" si="416"/>
        <v>1.3875159915815234</v>
      </c>
      <c r="G957" s="306">
        <f t="shared" ca="1" si="417"/>
        <v>6.2269460506084773</v>
      </c>
      <c r="H957" s="307">
        <f t="shared" ca="1" si="418"/>
        <v>-134.94468351873115</v>
      </c>
      <c r="I957" s="304">
        <f t="shared" ca="1" si="419"/>
        <v>135.08827657160964</v>
      </c>
      <c r="J957" s="306">
        <f t="shared" ca="1" si="420"/>
        <v>568.62651553779426</v>
      </c>
      <c r="K957" s="307">
        <f t="shared" ca="1" si="421"/>
        <v>-5.5825846819628451</v>
      </c>
      <c r="L957" s="304">
        <f t="shared" ca="1" si="406"/>
        <v>568.6539188508109</v>
      </c>
      <c r="M957" s="306">
        <f t="shared" ca="1" si="422"/>
        <v>-1.5246846028697831</v>
      </c>
      <c r="N957" s="304">
        <f t="shared" ca="1" si="423"/>
        <v>-87.357992833018571</v>
      </c>
      <c r="P957" s="310">
        <f t="shared" ca="1" si="424"/>
        <v>23</v>
      </c>
      <c r="Q957" s="304">
        <f t="shared" ca="1" si="425"/>
        <v>0</v>
      </c>
      <c r="R957" s="306">
        <f t="shared" ca="1" si="426"/>
        <v>0</v>
      </c>
      <c r="S957" s="307">
        <f t="shared" ca="1" si="427"/>
        <v>6.1519999999999921</v>
      </c>
      <c r="T957" s="304">
        <f t="shared" ca="1" si="407"/>
        <v>60.351119999999923</v>
      </c>
      <c r="U957" s="311">
        <f t="shared" ca="1" si="408"/>
        <v>0</v>
      </c>
      <c r="V957" s="306">
        <f t="shared" ca="1" si="409"/>
        <v>1.2256840575640047</v>
      </c>
      <c r="W957" s="304">
        <f t="shared" ca="1" si="410"/>
        <v>52.21718715859722</v>
      </c>
      <c r="Y957" s="314" t="str">
        <f t="shared" ca="1" si="428"/>
        <v/>
      </c>
      <c r="Z957" s="315" t="str">
        <f t="shared" ca="1" si="429"/>
        <v/>
      </c>
      <c r="AA957" s="316" t="str">
        <f t="shared" ca="1" si="430"/>
        <v/>
      </c>
      <c r="AC957" s="310" t="e">
        <f t="shared" ca="1" si="431"/>
        <v>#N/A</v>
      </c>
      <c r="AD957" s="323" t="e">
        <f t="shared" ca="1" si="432"/>
        <v>#N/A</v>
      </c>
      <c r="AE957" s="324" t="e">
        <f t="shared" ca="1" si="411"/>
        <v>#N/A</v>
      </c>
      <c r="AG957" s="306">
        <f t="shared" ca="1" si="433"/>
        <v>1.3117609115941331</v>
      </c>
      <c r="AH957" s="304">
        <f t="shared" ca="1" si="434"/>
        <v>-8.4878113271462805</v>
      </c>
    </row>
    <row r="958" spans="1:34" x14ac:dyDescent="0.2">
      <c r="A958" s="347">
        <f t="shared" ca="1" si="412"/>
        <v>1E-4</v>
      </c>
      <c r="B958" s="304">
        <f t="shared" ca="1" si="413"/>
        <v>41.418000000000873</v>
      </c>
      <c r="D958" s="306">
        <f t="shared" ca="1" si="414"/>
        <v>-0.39125021453430991</v>
      </c>
      <c r="E958" s="307">
        <f t="shared" ca="1" si="415"/>
        <v>-1.3311829445978667</v>
      </c>
      <c r="F958" s="304">
        <f t="shared" ca="1" si="416"/>
        <v>1.3874886530568062</v>
      </c>
      <c r="G958" s="306">
        <f t="shared" ca="1" si="417"/>
        <v>6.2269069255870235</v>
      </c>
      <c r="H958" s="307">
        <f t="shared" ca="1" si="418"/>
        <v>-134.94481663702561</v>
      </c>
      <c r="I958" s="304">
        <f t="shared" ca="1" si="419"/>
        <v>135.0884077449297</v>
      </c>
      <c r="J958" s="306">
        <f t="shared" ca="1" si="420"/>
        <v>568.62651553779426</v>
      </c>
      <c r="K958" s="307">
        <f t="shared" ca="1" si="421"/>
        <v>-5.5960791569706325</v>
      </c>
      <c r="L958" s="304">
        <f t="shared" ca="1" si="406"/>
        <v>568.65405148876278</v>
      </c>
      <c r="M958" s="306">
        <f t="shared" ca="1" si="422"/>
        <v>-1.5246849376103648</v>
      </c>
      <c r="N958" s="304">
        <f t="shared" ca="1" si="423"/>
        <v>-87.358012012241147</v>
      </c>
      <c r="P958" s="310">
        <f t="shared" ca="1" si="424"/>
        <v>23</v>
      </c>
      <c r="Q958" s="304">
        <f t="shared" ca="1" si="425"/>
        <v>0</v>
      </c>
      <c r="R958" s="306">
        <f t="shared" ca="1" si="426"/>
        <v>0</v>
      </c>
      <c r="S958" s="307">
        <f t="shared" ca="1" si="427"/>
        <v>6.1519999999999921</v>
      </c>
      <c r="T958" s="304">
        <f t="shared" ca="1" si="407"/>
        <v>60.351119999999923</v>
      </c>
      <c r="U958" s="311">
        <f t="shared" ca="1" si="408"/>
        <v>0</v>
      </c>
      <c r="V958" s="306">
        <f t="shared" ca="1" si="409"/>
        <v>1.2256857115615378</v>
      </c>
      <c r="W958" s="304">
        <f t="shared" ca="1" si="410"/>
        <v>52.217359030979225</v>
      </c>
      <c r="Y958" s="314" t="str">
        <f t="shared" ca="1" si="428"/>
        <v/>
      </c>
      <c r="Z958" s="315" t="str">
        <f t="shared" ca="1" si="429"/>
        <v/>
      </c>
      <c r="AA958" s="316" t="str">
        <f t="shared" ca="1" si="430"/>
        <v/>
      </c>
      <c r="AC958" s="310" t="e">
        <f t="shared" ca="1" si="431"/>
        <v>#N/A</v>
      </c>
      <c r="AD958" s="323" t="e">
        <f t="shared" ca="1" si="432"/>
        <v>#N/A</v>
      </c>
      <c r="AE958" s="324" t="e">
        <f t="shared" ca="1" si="411"/>
        <v>#N/A</v>
      </c>
      <c r="AG958" s="306">
        <f t="shared" ca="1" si="433"/>
        <v>1.3117331250588933</v>
      </c>
      <c r="AH958" s="304">
        <f t="shared" ca="1" si="434"/>
        <v>-8.4878392650515746</v>
      </c>
    </row>
    <row r="959" spans="1:34" x14ac:dyDescent="0.2">
      <c r="A959" s="347">
        <f t="shared" ca="1" si="412"/>
        <v>1E-4</v>
      </c>
      <c r="B959" s="304">
        <f t="shared" ca="1" si="413"/>
        <v>41.418100000000877</v>
      </c>
      <c r="D959" s="306">
        <f t="shared" ca="1" si="414"/>
        <v>-0.39124866411720605</v>
      </c>
      <c r="E959" s="307">
        <f t="shared" ca="1" si="415"/>
        <v>-1.3311549056837357</v>
      </c>
      <c r="F959" s="304">
        <f t="shared" ca="1" si="416"/>
        <v>1.3874613148118307</v>
      </c>
      <c r="G959" s="306">
        <f t="shared" ca="1" si="417"/>
        <v>6.226867800720612</v>
      </c>
      <c r="H959" s="307">
        <f t="shared" ca="1" si="418"/>
        <v>-134.94494975251618</v>
      </c>
      <c r="I959" s="304">
        <f t="shared" ca="1" si="419"/>
        <v>135.08853891547119</v>
      </c>
      <c r="J959" s="306">
        <f t="shared" ca="1" si="420"/>
        <v>568.62651553779426</v>
      </c>
      <c r="K959" s="307">
        <f t="shared" ca="1" si="421"/>
        <v>-5.6095736452901095</v>
      </c>
      <c r="L959" s="304">
        <f t="shared" ca="1" si="406"/>
        <v>568.65418444704619</v>
      </c>
      <c r="M959" s="306">
        <f t="shared" ca="1" si="422"/>
        <v>-1.5246852723481934</v>
      </c>
      <c r="N959" s="304">
        <f t="shared" ca="1" si="423"/>
        <v>-87.358031191305955</v>
      </c>
      <c r="P959" s="310">
        <f t="shared" ca="1" si="424"/>
        <v>23</v>
      </c>
      <c r="Q959" s="304">
        <f t="shared" ca="1" si="425"/>
        <v>0</v>
      </c>
      <c r="R959" s="306">
        <f t="shared" ca="1" si="426"/>
        <v>0</v>
      </c>
      <c r="S959" s="307">
        <f t="shared" ca="1" si="427"/>
        <v>6.1519999999999921</v>
      </c>
      <c r="T959" s="304">
        <f t="shared" ca="1" si="407"/>
        <v>60.351119999999923</v>
      </c>
      <c r="U959" s="311">
        <f t="shared" ca="1" si="408"/>
        <v>0</v>
      </c>
      <c r="V959" s="306">
        <f t="shared" ca="1" si="409"/>
        <v>1.2256873655629357</v>
      </c>
      <c r="W959" s="304">
        <f t="shared" ca="1" si="410"/>
        <v>52.217530901749974</v>
      </c>
      <c r="Y959" s="314" t="str">
        <f t="shared" ca="1" si="428"/>
        <v/>
      </c>
      <c r="Z959" s="315" t="str">
        <f t="shared" ca="1" si="429"/>
        <v/>
      </c>
      <c r="AA959" s="316" t="str">
        <f t="shared" ca="1" si="430"/>
        <v/>
      </c>
      <c r="AC959" s="310" t="e">
        <f t="shared" ca="1" si="431"/>
        <v>#N/A</v>
      </c>
      <c r="AD959" s="323" t="e">
        <f t="shared" ca="1" si="432"/>
        <v>#N/A</v>
      </c>
      <c r="AE959" s="324" t="e">
        <f t="shared" ca="1" si="411"/>
        <v>#N/A</v>
      </c>
      <c r="AG959" s="306">
        <f t="shared" ca="1" si="433"/>
        <v>1.3117053387832343</v>
      </c>
      <c r="AH959" s="304">
        <f t="shared" ca="1" si="434"/>
        <v>-8.4878672026949431</v>
      </c>
    </row>
    <row r="960" spans="1:34" x14ac:dyDescent="0.2">
      <c r="A960" s="347">
        <f t="shared" ca="1" si="412"/>
        <v>1E-4</v>
      </c>
      <c r="B960" s="304">
        <f t="shared" ca="1" si="413"/>
        <v>41.41820000000088</v>
      </c>
      <c r="D960" s="306">
        <f t="shared" ca="1" si="414"/>
        <v>-0.39124711369264537</v>
      </c>
      <c r="E960" s="307">
        <f t="shared" ca="1" si="415"/>
        <v>-1.3311268670324008</v>
      </c>
      <c r="F960" s="304">
        <f t="shared" ca="1" si="416"/>
        <v>1.3874339768465815</v>
      </c>
      <c r="G960" s="306">
        <f t="shared" ca="1" si="417"/>
        <v>6.2268286760092426</v>
      </c>
      <c r="H960" s="307">
        <f t="shared" ca="1" si="418"/>
        <v>-134.94508286520289</v>
      </c>
      <c r="I960" s="304">
        <f t="shared" ca="1" si="419"/>
        <v>135.08867008323401</v>
      </c>
      <c r="J960" s="306">
        <f t="shared" ca="1" si="420"/>
        <v>568.62651553779426</v>
      </c>
      <c r="K960" s="307">
        <f t="shared" ca="1" si="421"/>
        <v>-5.6230681469209953</v>
      </c>
      <c r="L960" s="304">
        <f t="shared" ca="1" si="406"/>
        <v>568.65431772566205</v>
      </c>
      <c r="M960" s="306">
        <f t="shared" ca="1" si="422"/>
        <v>-1.5246856070832686</v>
      </c>
      <c r="N960" s="304">
        <f t="shared" ca="1" si="423"/>
        <v>-87.358050370213022</v>
      </c>
      <c r="P960" s="310">
        <f t="shared" ca="1" si="424"/>
        <v>23</v>
      </c>
      <c r="Q960" s="304">
        <f t="shared" ca="1" si="425"/>
        <v>0</v>
      </c>
      <c r="R960" s="306">
        <f t="shared" ca="1" si="426"/>
        <v>0</v>
      </c>
      <c r="S960" s="307">
        <f t="shared" ca="1" si="427"/>
        <v>6.1519999999999921</v>
      </c>
      <c r="T960" s="304">
        <f t="shared" ca="1" si="407"/>
        <v>60.351119999999923</v>
      </c>
      <c r="U960" s="311">
        <f t="shared" ca="1" si="408"/>
        <v>0</v>
      </c>
      <c r="V960" s="306">
        <f t="shared" ca="1" si="409"/>
        <v>1.2256890195681971</v>
      </c>
      <c r="W960" s="304">
        <f t="shared" ca="1" si="410"/>
        <v>52.217702770909305</v>
      </c>
      <c r="Y960" s="314" t="str">
        <f t="shared" ca="1" si="428"/>
        <v/>
      </c>
      <c r="Z960" s="315" t="str">
        <f t="shared" ca="1" si="429"/>
        <v/>
      </c>
      <c r="AA960" s="316" t="str">
        <f t="shared" ca="1" si="430"/>
        <v/>
      </c>
      <c r="AC960" s="310" t="e">
        <f t="shared" ca="1" si="431"/>
        <v>#N/A</v>
      </c>
      <c r="AD960" s="323" t="e">
        <f t="shared" ca="1" si="432"/>
        <v>#N/A</v>
      </c>
      <c r="AE960" s="324" t="e">
        <f t="shared" ca="1" si="411"/>
        <v>#N/A</v>
      </c>
      <c r="AG960" s="306">
        <f t="shared" ca="1" si="433"/>
        <v>1.31167755276714</v>
      </c>
      <c r="AH960" s="304">
        <f t="shared" ca="1" si="434"/>
        <v>-8.4878951400764038</v>
      </c>
    </row>
    <row r="961" spans="1:34" x14ac:dyDescent="0.2">
      <c r="A961" s="347">
        <f t="shared" ca="1" si="412"/>
        <v>1E-4</v>
      </c>
      <c r="B961" s="304">
        <f t="shared" ca="1" si="413"/>
        <v>41.418300000000883</v>
      </c>
      <c r="D961" s="306">
        <f t="shared" ca="1" si="414"/>
        <v>-0.39124556326062909</v>
      </c>
      <c r="E961" s="307">
        <f t="shared" ca="1" si="415"/>
        <v>-1.3310988286438832</v>
      </c>
      <c r="F961" s="304">
        <f t="shared" ca="1" si="416"/>
        <v>1.3874066391610806</v>
      </c>
      <c r="G961" s="306">
        <f t="shared" ca="1" si="417"/>
        <v>6.2267895514529163</v>
      </c>
      <c r="H961" s="307">
        <f t="shared" ca="1" si="418"/>
        <v>-134.94521597508574</v>
      </c>
      <c r="I961" s="304">
        <f t="shared" ca="1" si="419"/>
        <v>135.08880124821829</v>
      </c>
      <c r="J961" s="306">
        <f t="shared" ca="1" si="420"/>
        <v>568.62651553779426</v>
      </c>
      <c r="K961" s="307">
        <f t="shared" ca="1" si="421"/>
        <v>-5.6365626618630094</v>
      </c>
      <c r="L961" s="304">
        <f t="shared" ca="1" si="406"/>
        <v>568.65445132461105</v>
      </c>
      <c r="M961" s="306">
        <f t="shared" ca="1" si="422"/>
        <v>-1.5246859418155905</v>
      </c>
      <c r="N961" s="304">
        <f t="shared" ca="1" si="423"/>
        <v>-87.358069548962334</v>
      </c>
      <c r="P961" s="310">
        <f t="shared" ca="1" si="424"/>
        <v>23</v>
      </c>
      <c r="Q961" s="304">
        <f t="shared" ca="1" si="425"/>
        <v>0</v>
      </c>
      <c r="R961" s="306">
        <f t="shared" ca="1" si="426"/>
        <v>0</v>
      </c>
      <c r="S961" s="307">
        <f t="shared" ca="1" si="427"/>
        <v>6.1519999999999921</v>
      </c>
      <c r="T961" s="304">
        <f t="shared" ca="1" si="407"/>
        <v>60.351119999999923</v>
      </c>
      <c r="U961" s="311">
        <f t="shared" ca="1" si="408"/>
        <v>0</v>
      </c>
      <c r="V961" s="306">
        <f t="shared" ca="1" si="409"/>
        <v>1.2256906735773234</v>
      </c>
      <c r="W961" s="304">
        <f t="shared" ca="1" si="410"/>
        <v>52.217874638457374</v>
      </c>
      <c r="Y961" s="314" t="str">
        <f t="shared" ca="1" si="428"/>
        <v/>
      </c>
      <c r="Z961" s="315" t="str">
        <f t="shared" ca="1" si="429"/>
        <v/>
      </c>
      <c r="AA961" s="316" t="str">
        <f t="shared" ca="1" si="430"/>
        <v/>
      </c>
      <c r="AC961" s="310" t="e">
        <f t="shared" ca="1" si="431"/>
        <v>#N/A</v>
      </c>
      <c r="AD961" s="323" t="e">
        <f t="shared" ca="1" si="432"/>
        <v>#N/A</v>
      </c>
      <c r="AE961" s="324" t="e">
        <f t="shared" ca="1" si="411"/>
        <v>#N/A</v>
      </c>
      <c r="AG961" s="306">
        <f t="shared" ca="1" si="433"/>
        <v>1.3116497670106373</v>
      </c>
      <c r="AH961" s="304">
        <f t="shared" ca="1" si="434"/>
        <v>-8.4879230771959318</v>
      </c>
    </row>
    <row r="962" spans="1:34" x14ac:dyDescent="0.2">
      <c r="A962" s="347">
        <f t="shared" ca="1" si="412"/>
        <v>1E-4</v>
      </c>
      <c r="B962" s="304">
        <f t="shared" ca="1" si="413"/>
        <v>41.418400000000887</v>
      </c>
      <c r="D962" s="306">
        <f t="shared" ca="1" si="414"/>
        <v>-0.39124401282115889</v>
      </c>
      <c r="E962" s="307">
        <f t="shared" ca="1" si="415"/>
        <v>-1.3310707905181633</v>
      </c>
      <c r="F962" s="304">
        <f t="shared" ca="1" si="416"/>
        <v>1.38737930175531</v>
      </c>
      <c r="G962" s="306">
        <f t="shared" ca="1" si="417"/>
        <v>6.2267504270516341</v>
      </c>
      <c r="H962" s="307">
        <f t="shared" ca="1" si="418"/>
        <v>-134.9453490821648</v>
      </c>
      <c r="I962" s="304">
        <f t="shared" ca="1" si="419"/>
        <v>135.08893241042401</v>
      </c>
      <c r="J962" s="306">
        <f t="shared" ca="1" si="420"/>
        <v>568.62651553779426</v>
      </c>
      <c r="K962" s="307">
        <f t="shared" ca="1" si="421"/>
        <v>-5.6500571901158718</v>
      </c>
      <c r="L962" s="304">
        <f t="shared" ca="1" si="406"/>
        <v>568.65458524389385</v>
      </c>
      <c r="M962" s="306">
        <f t="shared" ca="1" si="422"/>
        <v>-1.5246862765451592</v>
      </c>
      <c r="N962" s="304">
        <f t="shared" ca="1" si="423"/>
        <v>-87.358088727553906</v>
      </c>
      <c r="P962" s="310">
        <f t="shared" ca="1" si="424"/>
        <v>23</v>
      </c>
      <c r="Q962" s="304">
        <f t="shared" ca="1" si="425"/>
        <v>0</v>
      </c>
      <c r="R962" s="306">
        <f t="shared" ca="1" si="426"/>
        <v>0</v>
      </c>
      <c r="S962" s="307">
        <f t="shared" ca="1" si="427"/>
        <v>6.1519999999999921</v>
      </c>
      <c r="T962" s="304">
        <f t="shared" ca="1" si="407"/>
        <v>60.351119999999923</v>
      </c>
      <c r="U962" s="311">
        <f t="shared" ca="1" si="408"/>
        <v>0</v>
      </c>
      <c r="V962" s="306">
        <f t="shared" ca="1" si="409"/>
        <v>1.2256923275903131</v>
      </c>
      <c r="W962" s="304">
        <f t="shared" ca="1" si="410"/>
        <v>52.218046504394096</v>
      </c>
      <c r="Y962" s="314" t="str">
        <f t="shared" ca="1" si="428"/>
        <v/>
      </c>
      <c r="Z962" s="315" t="str">
        <f t="shared" ca="1" si="429"/>
        <v/>
      </c>
      <c r="AA962" s="316" t="str">
        <f t="shared" ca="1" si="430"/>
        <v/>
      </c>
      <c r="AC962" s="310" t="e">
        <f t="shared" ca="1" si="431"/>
        <v>#N/A</v>
      </c>
      <c r="AD962" s="323" t="e">
        <f t="shared" ca="1" si="432"/>
        <v>#N/A</v>
      </c>
      <c r="AE962" s="324" t="e">
        <f t="shared" ca="1" si="411"/>
        <v>#N/A</v>
      </c>
      <c r="AG962" s="306">
        <f t="shared" ca="1" si="433"/>
        <v>1.3116219815136994</v>
      </c>
      <c r="AH962" s="304">
        <f t="shared" ca="1" si="434"/>
        <v>-8.4879510140535501</v>
      </c>
    </row>
    <row r="963" spans="1:34" x14ac:dyDescent="0.2">
      <c r="A963" s="347">
        <f t="shared" ca="1" si="412"/>
        <v>1E-4</v>
      </c>
      <c r="B963" s="304">
        <f t="shared" ca="1" si="413"/>
        <v>41.41850000000089</v>
      </c>
      <c r="D963" s="306">
        <f t="shared" ca="1" si="414"/>
        <v>-0.39124246237423266</v>
      </c>
      <c r="E963" s="307">
        <f t="shared" ca="1" si="415"/>
        <v>-1.331042752655252</v>
      </c>
      <c r="F963" s="304">
        <f t="shared" ca="1" si="416"/>
        <v>1.38735196462928</v>
      </c>
      <c r="G963" s="306">
        <f t="shared" ca="1" si="417"/>
        <v>6.2267113028053966</v>
      </c>
      <c r="H963" s="307">
        <f t="shared" ca="1" si="418"/>
        <v>-134.94548218644007</v>
      </c>
      <c r="I963" s="304">
        <f t="shared" ca="1" si="419"/>
        <v>135.08906356985122</v>
      </c>
      <c r="J963" s="306">
        <f t="shared" ca="1" si="420"/>
        <v>568.62651553779426</v>
      </c>
      <c r="K963" s="307">
        <f t="shared" ca="1" si="421"/>
        <v>-5.663551731679302</v>
      </c>
      <c r="L963" s="304">
        <f t="shared" ca="1" si="406"/>
        <v>568.65471948351114</v>
      </c>
      <c r="M963" s="306">
        <f t="shared" ca="1" si="422"/>
        <v>-1.5246866112719748</v>
      </c>
      <c r="N963" s="304">
        <f t="shared" ca="1" si="423"/>
        <v>-87.358107905987723</v>
      </c>
      <c r="P963" s="310">
        <f t="shared" ca="1" si="424"/>
        <v>23</v>
      </c>
      <c r="Q963" s="304">
        <f t="shared" ca="1" si="425"/>
        <v>0</v>
      </c>
      <c r="R963" s="306">
        <f t="shared" ca="1" si="426"/>
        <v>0</v>
      </c>
      <c r="S963" s="307">
        <f t="shared" ca="1" si="427"/>
        <v>6.1519999999999921</v>
      </c>
      <c r="T963" s="304">
        <f t="shared" ca="1" si="407"/>
        <v>60.351119999999923</v>
      </c>
      <c r="U963" s="311">
        <f t="shared" ca="1" si="408"/>
        <v>0</v>
      </c>
      <c r="V963" s="306">
        <f t="shared" ca="1" si="409"/>
        <v>1.2256939816071675</v>
      </c>
      <c r="W963" s="304">
        <f t="shared" ca="1" si="410"/>
        <v>52.21821836871954</v>
      </c>
      <c r="Y963" s="314" t="str">
        <f t="shared" ca="1" si="428"/>
        <v/>
      </c>
      <c r="Z963" s="315" t="str">
        <f t="shared" ca="1" si="429"/>
        <v/>
      </c>
      <c r="AA963" s="316" t="str">
        <f t="shared" ca="1" si="430"/>
        <v/>
      </c>
      <c r="AC963" s="310" t="e">
        <f t="shared" ca="1" si="431"/>
        <v>#N/A</v>
      </c>
      <c r="AD963" s="323" t="e">
        <f t="shared" ca="1" si="432"/>
        <v>#N/A</v>
      </c>
      <c r="AE963" s="324" t="e">
        <f t="shared" ca="1" si="411"/>
        <v>#N/A</v>
      </c>
      <c r="AG963" s="306">
        <f t="shared" ca="1" si="433"/>
        <v>1.3115941962763404</v>
      </c>
      <c r="AH963" s="304">
        <f t="shared" ca="1" si="434"/>
        <v>-8.4879789506492465</v>
      </c>
    </row>
    <row r="964" spans="1:34" x14ac:dyDescent="0.2">
      <c r="A964" s="347">
        <f t="shared" ca="1" si="412"/>
        <v>1E-4</v>
      </c>
      <c r="B964" s="304">
        <f t="shared" ca="1" si="413"/>
        <v>41.418600000000893</v>
      </c>
      <c r="D964" s="306">
        <f t="shared" ca="1" si="414"/>
        <v>-0.39124091191985144</v>
      </c>
      <c r="E964" s="307">
        <f t="shared" ca="1" si="415"/>
        <v>-1.3310147150551401</v>
      </c>
      <c r="F964" s="304">
        <f t="shared" ca="1" si="416"/>
        <v>1.3873246277829832</v>
      </c>
      <c r="G964" s="306">
        <f t="shared" ca="1" si="417"/>
        <v>6.226672178714205</v>
      </c>
      <c r="H964" s="307">
        <f t="shared" ca="1" si="418"/>
        <v>-134.94561528791158</v>
      </c>
      <c r="I964" s="304">
        <f t="shared" ca="1" si="419"/>
        <v>135.0891947264999</v>
      </c>
      <c r="J964" s="306">
        <f t="shared" ca="1" si="420"/>
        <v>568.62651553779426</v>
      </c>
      <c r="K964" s="307">
        <f t="shared" ca="1" si="421"/>
        <v>-5.6770462865530193</v>
      </c>
      <c r="L964" s="304">
        <f t="shared" ref="L964:L1004" ca="1" si="435">SQRT(pos_x^2+pos_z^2)</f>
        <v>568.65485404346373</v>
      </c>
      <c r="M964" s="306">
        <f t="shared" ca="1" si="422"/>
        <v>-1.5246869459960373</v>
      </c>
      <c r="N964" s="304">
        <f t="shared" ca="1" si="423"/>
        <v>-87.358127084263799</v>
      </c>
      <c r="P964" s="310">
        <f t="shared" ca="1" si="424"/>
        <v>23</v>
      </c>
      <c r="Q964" s="304">
        <f t="shared" ca="1" si="425"/>
        <v>0</v>
      </c>
      <c r="R964" s="306">
        <f t="shared" ca="1" si="426"/>
        <v>0</v>
      </c>
      <c r="S964" s="307">
        <f t="shared" ca="1" si="427"/>
        <v>6.1519999999999921</v>
      </c>
      <c r="T964" s="304">
        <f t="shared" ref="T964:T1004" ca="1" si="436">m*g</f>
        <v>60.351119999999923</v>
      </c>
      <c r="U964" s="311">
        <f t="shared" ref="U964:U1004" ca="1" si="437">IF(pos_xz&lt;L_rampe,Poids*COS(Beta),0)</f>
        <v>0</v>
      </c>
      <c r="V964" s="306">
        <f t="shared" ref="V964:V1004" ca="1" si="438">Rho_moyen*(20000-Alt_rampe-pos_z)/(20000+Alt_rampe+pos_z)</f>
        <v>1.2256956356278859</v>
      </c>
      <c r="W964" s="304">
        <f t="shared" ref="W964:W1003" ca="1" si="439">1/2*Rho*Sref*Cx*vit_xz^2</f>
        <v>52.218390231433624</v>
      </c>
      <c r="Y964" s="314" t="str">
        <f t="shared" ca="1" si="428"/>
        <v/>
      </c>
      <c r="Z964" s="315" t="str">
        <f t="shared" ca="1" si="429"/>
        <v/>
      </c>
      <c r="AA964" s="316" t="str">
        <f t="shared" ca="1" si="430"/>
        <v/>
      </c>
      <c r="AC964" s="310" t="e">
        <f t="shared" ca="1" si="431"/>
        <v>#N/A</v>
      </c>
      <c r="AD964" s="323" t="e">
        <f t="shared" ca="1" si="432"/>
        <v>#N/A</v>
      </c>
      <c r="AE964" s="324" t="e">
        <f t="shared" ref="AE964:AE1004" ca="1" si="440">IF(t&lt;T_para, pos_z, NA())</f>
        <v>#N/A</v>
      </c>
      <c r="AG964" s="306">
        <f t="shared" ca="1" si="433"/>
        <v>1.3115664112985517</v>
      </c>
      <c r="AH964" s="304">
        <f t="shared" ca="1" si="434"/>
        <v>-8.4880068869830314</v>
      </c>
    </row>
    <row r="965" spans="1:34" x14ac:dyDescent="0.2">
      <c r="A965" s="347">
        <f t="shared" ref="A965:A1004" ca="1" si="441">IF(B964+0.01&lt;=T_ini+ROUNDUP(Temps_fin_propu,0), 0.01, IF(K964&gt;0, 0.1, 0.0001))</f>
        <v>1E-4</v>
      </c>
      <c r="B965" s="304">
        <f t="shared" ref="B965:B1004" ca="1" si="442">B964+pas</f>
        <v>41.418700000000896</v>
      </c>
      <c r="D965" s="306">
        <f t="shared" ref="D965:D1004" ca="1" si="443">IF(AND(L964&lt;L_rampe,Poussee&lt;Poids*SIN(M964)),0,(-W964+Poussee)/m*COS(M964)-U964/m*SIN(M964))</f>
        <v>-0.39123936145801508</v>
      </c>
      <c r="E965" s="307">
        <f t="shared" ref="E965:E1004" ca="1" si="444">IF(AND(L964&lt;L_rampe,Poussee&lt;Poids*SIN(M964)),0,(-W964+Poussee)/m*SIN(M964)+U964/m*COS(M964)-Poids/m)</f>
        <v>-1.3309866777178385</v>
      </c>
      <c r="F965" s="304">
        <f t="shared" ref="F965:F1004" ca="1" si="445">SQRT(acc_x^2+acc_z^2)</f>
        <v>1.3872972912164303</v>
      </c>
      <c r="G965" s="306">
        <f t="shared" ref="G965:G1004" ca="1" si="446">G964+acc_x*pas</f>
        <v>6.2266330547780591</v>
      </c>
      <c r="H965" s="307">
        <f t="shared" ref="H965:H1004" ca="1" si="447">H964+acc_z*pas</f>
        <v>-134.94574838657934</v>
      </c>
      <c r="I965" s="304">
        <f t="shared" ref="I965:I1004" ca="1" si="448">SQRT(vit_x^2+vit_z^2)</f>
        <v>135.0893258803701</v>
      </c>
      <c r="J965" s="306">
        <f t="shared" ref="J965:J1004" ca="1" si="449">J964+0.5*(vit_x+G964)*pas*(K964&gt;=0)</f>
        <v>568.62651553779426</v>
      </c>
      <c r="K965" s="307">
        <f t="shared" ref="K965:K1004" ca="1" si="450">K964+0.5*(vit_z+H964)*pas</f>
        <v>-5.690540854736744</v>
      </c>
      <c r="L965" s="304">
        <f t="shared" ca="1" si="435"/>
        <v>568.65498892375228</v>
      </c>
      <c r="M965" s="306">
        <f t="shared" ref="M965:M1004" ca="1" si="451">IF(AND(L964&gt;L_rampe,G965&gt;0),ATAN2(G965,H965),$M$4)</f>
        <v>-1.5246872807173466</v>
      </c>
      <c r="N965" s="304">
        <f t="shared" ref="N965:N1004" ca="1" si="452">DEGREES(Beta)</f>
        <v>-87.358146262382149</v>
      </c>
      <c r="P965" s="310">
        <f t="shared" ref="P965:P1004" ca="1" si="453">MATCH(t-pas/2-T_ini,CdP_t)</f>
        <v>23</v>
      </c>
      <c r="Q965" s="304">
        <f t="shared" ref="Q965:Q1004" ca="1" si="454">(INDEX(CdP,2,i_P+1)-INDEX(CdP,2,i_P+0))/(INDEX(CdP,1,i_P+1)-INDEX(CdP,1,i_P+0))*(t-pas/2-T_ini-INDEX(CdP,1,i_P+0))+INDEX(CdP,2,i_P+0)</f>
        <v>0</v>
      </c>
      <c r="R965" s="306">
        <f t="shared" ref="R965:R1004" ca="1" si="455">Poussee/(g*ISP)</f>
        <v>0</v>
      </c>
      <c r="S965" s="307">
        <f t="shared" ref="S965:S1004" ca="1" si="456">S964-Débit*pas</f>
        <v>6.1519999999999921</v>
      </c>
      <c r="T965" s="304">
        <f t="shared" ca="1" si="436"/>
        <v>60.351119999999923</v>
      </c>
      <c r="U965" s="311">
        <f t="shared" ca="1" si="437"/>
        <v>0</v>
      </c>
      <c r="V965" s="306">
        <f t="shared" ca="1" si="438"/>
        <v>1.225697289652468</v>
      </c>
      <c r="W965" s="304">
        <f t="shared" ca="1" si="439"/>
        <v>52.218562092536423</v>
      </c>
      <c r="Y965" s="314" t="str">
        <f t="shared" ref="Y965:Y1003" ca="1" si="457">IF(AND(pos_z&lt;=0,K964&gt;0),"Impact balistique","") &amp; IF(AND(H966&lt;0,vit_z&gt;=0),"Apogée","") &amp; IF(AND(Poussee=0,Q964&gt;0),"Fin de propulsion","") &amp; IF(AND(L966&gt;L_rampe,pos_xz&lt;=L_rampe),"Sortie de rampe","")</f>
        <v/>
      </c>
      <c r="Z965" s="315" t="str">
        <f t="shared" ref="Z965:Z1004" ca="1" si="458">IF(ABS(t-T_para)&lt;pas/2,"Para","")</f>
        <v/>
      </c>
      <c r="AA965" s="316" t="str">
        <f t="shared" ref="AA965:AA1004" ca="1" si="459">IF(ABS(t-T_satellite)&lt;pas/2,"Satellite","")</f>
        <v/>
      </c>
      <c r="AC965" s="310" t="e">
        <f t="shared" ref="AC965:AC1004" ca="1" si="460">IF(ABS(t-ROUND(t,0))&lt;0.001,t,NA())</f>
        <v>#N/A</v>
      </c>
      <c r="AD965" s="323" t="e">
        <f t="shared" ref="AD965:AD1004" ca="1" si="461">IF(ABS(t-ROUND(t,0))&lt;0.001,pos_x,NA())</f>
        <v>#N/A</v>
      </c>
      <c r="AE965" s="324" t="e">
        <f t="shared" ca="1" si="440"/>
        <v>#N/A</v>
      </c>
      <c r="AG965" s="306">
        <f t="shared" ref="AG965:AG1004" ca="1" si="462">IF(AND(L964&lt;L_rampe,Poussee&lt;Poids*SIN(M964)),0,(-W964+Poussee)/m-Poids*SIN(M964)/m)</f>
        <v>1.3115386265803455</v>
      </c>
      <c r="AH965" s="304">
        <f t="shared" ref="AH965:AH1004" ca="1" si="463">IF(AND(L964&lt;L_rampe,Poussee&lt;Poids*SIN(M964)), g*SIN(M964), (-W964+Poussee)/m)</f>
        <v>-8.4880348230548908</v>
      </c>
    </row>
    <row r="966" spans="1:34" x14ac:dyDescent="0.2">
      <c r="A966" s="347">
        <f t="shared" ca="1" si="441"/>
        <v>1E-4</v>
      </c>
      <c r="B966" s="304">
        <f t="shared" ca="1" si="442"/>
        <v>41.4188000000009</v>
      </c>
      <c r="D966" s="306">
        <f t="shared" ca="1" si="443"/>
        <v>-0.39123781098872473</v>
      </c>
      <c r="E966" s="307">
        <f t="shared" ca="1" si="444"/>
        <v>-1.3309586406433347</v>
      </c>
      <c r="F966" s="304">
        <f t="shared" ca="1" si="445"/>
        <v>1.3872699549296101</v>
      </c>
      <c r="G966" s="306">
        <f t="shared" ca="1" si="446"/>
        <v>6.2265939309969598</v>
      </c>
      <c r="H966" s="307">
        <f t="shared" ca="1" si="447"/>
        <v>-134.94588148244341</v>
      </c>
      <c r="I966" s="304">
        <f t="shared" ca="1" si="448"/>
        <v>135.0894570314619</v>
      </c>
      <c r="J966" s="306">
        <f t="shared" ca="1" si="449"/>
        <v>568.62651553779426</v>
      </c>
      <c r="K966" s="307">
        <f t="shared" ca="1" si="450"/>
        <v>-5.7040354362301953</v>
      </c>
      <c r="L966" s="304">
        <f t="shared" ca="1" si="435"/>
        <v>568.65512412437738</v>
      </c>
      <c r="M966" s="306">
        <f t="shared" ca="1" si="451"/>
        <v>-1.5246876154359028</v>
      </c>
      <c r="N966" s="304">
        <f t="shared" ca="1" si="452"/>
        <v>-87.358165440342745</v>
      </c>
      <c r="P966" s="310">
        <f t="shared" ca="1" si="453"/>
        <v>23</v>
      </c>
      <c r="Q966" s="304">
        <f t="shared" ca="1" si="454"/>
        <v>0</v>
      </c>
      <c r="R966" s="306">
        <f t="shared" ca="1" si="455"/>
        <v>0</v>
      </c>
      <c r="S966" s="307">
        <f t="shared" ca="1" si="456"/>
        <v>6.1519999999999921</v>
      </c>
      <c r="T966" s="304">
        <f t="shared" ca="1" si="436"/>
        <v>60.351119999999923</v>
      </c>
      <c r="U966" s="311">
        <f t="shared" ca="1" si="437"/>
        <v>0</v>
      </c>
      <c r="V966" s="306">
        <f t="shared" ca="1" si="438"/>
        <v>1.2256989436809145</v>
      </c>
      <c r="W966" s="304">
        <f t="shared" ca="1" si="439"/>
        <v>52.218733952027961</v>
      </c>
      <c r="Y966" s="314" t="str">
        <f t="shared" ca="1" si="457"/>
        <v/>
      </c>
      <c r="Z966" s="315" t="str">
        <f t="shared" ca="1" si="458"/>
        <v/>
      </c>
      <c r="AA966" s="316" t="str">
        <f t="shared" ca="1" si="459"/>
        <v/>
      </c>
      <c r="AC966" s="310" t="e">
        <f t="shared" ca="1" si="460"/>
        <v>#N/A</v>
      </c>
      <c r="AD966" s="323" t="e">
        <f t="shared" ca="1" si="461"/>
        <v>#N/A</v>
      </c>
      <c r="AE966" s="324" t="e">
        <f t="shared" ca="1" si="440"/>
        <v>#N/A</v>
      </c>
      <c r="AG966" s="306">
        <f t="shared" ca="1" si="462"/>
        <v>1.3115108421217059</v>
      </c>
      <c r="AH966" s="304">
        <f t="shared" ca="1" si="463"/>
        <v>-8.4880627588648387</v>
      </c>
    </row>
    <row r="967" spans="1:34" x14ac:dyDescent="0.2">
      <c r="A967" s="347">
        <f t="shared" ca="1" si="441"/>
        <v>1E-4</v>
      </c>
      <c r="B967" s="304">
        <f t="shared" ca="1" si="442"/>
        <v>41.418900000000903</v>
      </c>
      <c r="D967" s="306">
        <f t="shared" ca="1" si="443"/>
        <v>-0.39123626051198102</v>
      </c>
      <c r="E967" s="307">
        <f t="shared" ca="1" si="444"/>
        <v>-1.3309306038316269</v>
      </c>
      <c r="F967" s="304">
        <f t="shared" ca="1" si="445"/>
        <v>1.387242618922522</v>
      </c>
      <c r="G967" s="306">
        <f t="shared" ca="1" si="446"/>
        <v>6.2265548073709089</v>
      </c>
      <c r="H967" s="307">
        <f t="shared" ca="1" si="447"/>
        <v>-134.9460145755038</v>
      </c>
      <c r="I967" s="304">
        <f t="shared" ca="1" si="448"/>
        <v>135.08958817977526</v>
      </c>
      <c r="J967" s="306">
        <f t="shared" ca="1" si="449"/>
        <v>568.62651553779426</v>
      </c>
      <c r="K967" s="307">
        <f t="shared" ca="1" si="450"/>
        <v>-5.7175300310330925</v>
      </c>
      <c r="L967" s="304">
        <f t="shared" ca="1" si="435"/>
        <v>568.65525964534004</v>
      </c>
      <c r="M967" s="306">
        <f t="shared" ca="1" si="451"/>
        <v>-1.5246879501517061</v>
      </c>
      <c r="N967" s="304">
        <f t="shared" ca="1" si="452"/>
        <v>-87.3581846181456</v>
      </c>
      <c r="P967" s="310">
        <f t="shared" ca="1" si="453"/>
        <v>23</v>
      </c>
      <c r="Q967" s="304">
        <f t="shared" ca="1" si="454"/>
        <v>0</v>
      </c>
      <c r="R967" s="306">
        <f t="shared" ca="1" si="455"/>
        <v>0</v>
      </c>
      <c r="S967" s="307">
        <f t="shared" ca="1" si="456"/>
        <v>6.1519999999999921</v>
      </c>
      <c r="T967" s="304">
        <f t="shared" ca="1" si="436"/>
        <v>60.351119999999923</v>
      </c>
      <c r="U967" s="311">
        <f t="shared" ca="1" si="437"/>
        <v>0</v>
      </c>
      <c r="V967" s="306">
        <f t="shared" ca="1" si="438"/>
        <v>1.2257005977132249</v>
      </c>
      <c r="W967" s="304">
        <f t="shared" ca="1" si="439"/>
        <v>52.218905809908172</v>
      </c>
      <c r="Y967" s="314" t="str">
        <f t="shared" ca="1" si="457"/>
        <v/>
      </c>
      <c r="Z967" s="315" t="str">
        <f t="shared" ca="1" si="458"/>
        <v/>
      </c>
      <c r="AA967" s="316" t="str">
        <f t="shared" ca="1" si="459"/>
        <v/>
      </c>
      <c r="AC967" s="310" t="e">
        <f t="shared" ca="1" si="460"/>
        <v>#N/A</v>
      </c>
      <c r="AD967" s="323" t="e">
        <f t="shared" ca="1" si="461"/>
        <v>#N/A</v>
      </c>
      <c r="AE967" s="324" t="e">
        <f t="shared" ca="1" si="440"/>
        <v>#N/A</v>
      </c>
      <c r="AG967" s="306">
        <f t="shared" ca="1" si="462"/>
        <v>1.3114830579226329</v>
      </c>
      <c r="AH967" s="304">
        <f t="shared" ca="1" si="463"/>
        <v>-8.4880906944128789</v>
      </c>
    </row>
    <row r="968" spans="1:34" x14ac:dyDescent="0.2">
      <c r="A968" s="347">
        <f t="shared" ca="1" si="441"/>
        <v>1E-4</v>
      </c>
      <c r="B968" s="304">
        <f t="shared" ca="1" si="442"/>
        <v>41.419000000000906</v>
      </c>
      <c r="D968" s="306">
        <f t="shared" ca="1" si="443"/>
        <v>-0.39123471002778204</v>
      </c>
      <c r="E968" s="307">
        <f t="shared" ca="1" si="444"/>
        <v>-1.3309025672827257</v>
      </c>
      <c r="F968" s="304">
        <f t="shared" ca="1" si="445"/>
        <v>1.3872152831951763</v>
      </c>
      <c r="G968" s="306">
        <f t="shared" ca="1" si="446"/>
        <v>6.2265156838999065</v>
      </c>
      <c r="H968" s="307">
        <f t="shared" ca="1" si="447"/>
        <v>-134.94614766576052</v>
      </c>
      <c r="I968" s="304">
        <f t="shared" ca="1" si="448"/>
        <v>135.08971932531023</v>
      </c>
      <c r="J968" s="306">
        <f t="shared" ca="1" si="449"/>
        <v>568.62651553779426</v>
      </c>
      <c r="K968" s="307">
        <f t="shared" ca="1" si="450"/>
        <v>-5.731024639145156</v>
      </c>
      <c r="L968" s="304">
        <f t="shared" ca="1" si="435"/>
        <v>568.65539548664083</v>
      </c>
      <c r="M968" s="306">
        <f t="shared" ca="1" si="451"/>
        <v>-1.5246882848647563</v>
      </c>
      <c r="N968" s="304">
        <f t="shared" ca="1" si="452"/>
        <v>-87.358203795790729</v>
      </c>
      <c r="P968" s="310">
        <f t="shared" ca="1" si="453"/>
        <v>23</v>
      </c>
      <c r="Q968" s="304">
        <f t="shared" ca="1" si="454"/>
        <v>0</v>
      </c>
      <c r="R968" s="306">
        <f t="shared" ca="1" si="455"/>
        <v>0</v>
      </c>
      <c r="S968" s="307">
        <f t="shared" ca="1" si="456"/>
        <v>6.1519999999999921</v>
      </c>
      <c r="T968" s="304">
        <f t="shared" ca="1" si="436"/>
        <v>60.351119999999923</v>
      </c>
      <c r="U968" s="311">
        <f t="shared" ca="1" si="437"/>
        <v>0</v>
      </c>
      <c r="V968" s="306">
        <f t="shared" ca="1" si="438"/>
        <v>1.2257022517493994</v>
      </c>
      <c r="W968" s="304">
        <f t="shared" ca="1" si="439"/>
        <v>52.219077666177121</v>
      </c>
      <c r="Y968" s="314" t="str">
        <f t="shared" ca="1" si="457"/>
        <v/>
      </c>
      <c r="Z968" s="315" t="str">
        <f t="shared" ca="1" si="458"/>
        <v/>
      </c>
      <c r="AA968" s="316" t="str">
        <f t="shared" ca="1" si="459"/>
        <v/>
      </c>
      <c r="AC968" s="310" t="e">
        <f t="shared" ca="1" si="460"/>
        <v>#N/A</v>
      </c>
      <c r="AD968" s="323" t="e">
        <f t="shared" ca="1" si="461"/>
        <v>#N/A</v>
      </c>
      <c r="AE968" s="324" t="e">
        <f t="shared" ca="1" si="440"/>
        <v>#N/A</v>
      </c>
      <c r="AG968" s="306">
        <f t="shared" ca="1" si="462"/>
        <v>1.3114552739831353</v>
      </c>
      <c r="AH968" s="304">
        <f t="shared" ca="1" si="463"/>
        <v>-8.4881186296989988</v>
      </c>
    </row>
    <row r="969" spans="1:34" x14ac:dyDescent="0.2">
      <c r="A969" s="347">
        <f t="shared" ca="1" si="441"/>
        <v>1E-4</v>
      </c>
      <c r="B969" s="304">
        <f t="shared" ca="1" si="442"/>
        <v>41.41910000000091</v>
      </c>
      <c r="D969" s="306">
        <f t="shared" ca="1" si="443"/>
        <v>-0.39123315953613064</v>
      </c>
      <c r="E969" s="307">
        <f t="shared" ca="1" si="444"/>
        <v>-1.3308745309966188</v>
      </c>
      <c r="F969" s="304">
        <f t="shared" ca="1" si="445"/>
        <v>1.3871879477475622</v>
      </c>
      <c r="G969" s="306">
        <f t="shared" ca="1" si="446"/>
        <v>6.2264765605839525</v>
      </c>
      <c r="H969" s="307">
        <f t="shared" ca="1" si="447"/>
        <v>-134.94628075321361</v>
      </c>
      <c r="I969" s="304">
        <f t="shared" ca="1" si="448"/>
        <v>135.0898504680668</v>
      </c>
      <c r="J969" s="306">
        <f t="shared" ca="1" si="449"/>
        <v>568.62651553779426</v>
      </c>
      <c r="K969" s="307">
        <f t="shared" ca="1" si="450"/>
        <v>-5.7445192605661051</v>
      </c>
      <c r="L969" s="304">
        <f t="shared" ca="1" si="435"/>
        <v>568.65553164828032</v>
      </c>
      <c r="M969" s="306">
        <f t="shared" ca="1" si="451"/>
        <v>-1.5246886195750535</v>
      </c>
      <c r="N969" s="304">
        <f t="shared" ca="1" si="452"/>
        <v>-87.358222973278117</v>
      </c>
      <c r="P969" s="310">
        <f t="shared" ca="1" si="453"/>
        <v>23</v>
      </c>
      <c r="Q969" s="304">
        <f t="shared" ca="1" si="454"/>
        <v>0</v>
      </c>
      <c r="R969" s="306">
        <f t="shared" ca="1" si="455"/>
        <v>0</v>
      </c>
      <c r="S969" s="307">
        <f t="shared" ca="1" si="456"/>
        <v>6.1519999999999921</v>
      </c>
      <c r="T969" s="304">
        <f t="shared" ca="1" si="436"/>
        <v>60.351119999999923</v>
      </c>
      <c r="U969" s="311">
        <f t="shared" ca="1" si="437"/>
        <v>0</v>
      </c>
      <c r="V969" s="306">
        <f t="shared" ca="1" si="438"/>
        <v>1.2257039057894377</v>
      </c>
      <c r="W969" s="304">
        <f t="shared" ca="1" si="439"/>
        <v>52.219249520834758</v>
      </c>
      <c r="Y969" s="314" t="str">
        <f t="shared" ca="1" si="457"/>
        <v/>
      </c>
      <c r="Z969" s="315" t="str">
        <f t="shared" ca="1" si="458"/>
        <v/>
      </c>
      <c r="AA969" s="316" t="str">
        <f t="shared" ca="1" si="459"/>
        <v/>
      </c>
      <c r="AC969" s="310" t="e">
        <f t="shared" ca="1" si="460"/>
        <v>#N/A</v>
      </c>
      <c r="AD969" s="323" t="e">
        <f t="shared" ca="1" si="461"/>
        <v>#N/A</v>
      </c>
      <c r="AE969" s="324" t="e">
        <f t="shared" ca="1" si="440"/>
        <v>#N/A</v>
      </c>
      <c r="AG969" s="306">
        <f t="shared" ca="1" si="462"/>
        <v>1.3114274903032044</v>
      </c>
      <c r="AH969" s="304">
        <f t="shared" ca="1" si="463"/>
        <v>-8.4881465647232108</v>
      </c>
    </row>
    <row r="970" spans="1:34" x14ac:dyDescent="0.2">
      <c r="A970" s="347">
        <f t="shared" ca="1" si="441"/>
        <v>1E-4</v>
      </c>
      <c r="B970" s="304">
        <f t="shared" ca="1" si="442"/>
        <v>41.419200000000913</v>
      </c>
      <c r="D970" s="306">
        <f t="shared" ca="1" si="443"/>
        <v>-0.39123160903702503</v>
      </c>
      <c r="E970" s="307">
        <f t="shared" ca="1" si="444"/>
        <v>-1.3308464949733168</v>
      </c>
      <c r="F970" s="304">
        <f t="shared" ca="1" si="445"/>
        <v>1.3871606125796905</v>
      </c>
      <c r="G970" s="306">
        <f t="shared" ca="1" si="446"/>
        <v>6.2264374374230487</v>
      </c>
      <c r="H970" s="307">
        <f t="shared" ca="1" si="447"/>
        <v>-134.9464138378631</v>
      </c>
      <c r="I970" s="304">
        <f t="shared" ca="1" si="448"/>
        <v>135.08998160804506</v>
      </c>
      <c r="J970" s="306">
        <f t="shared" ca="1" si="449"/>
        <v>568.62651553779426</v>
      </c>
      <c r="K970" s="307">
        <f t="shared" ca="1" si="450"/>
        <v>-5.758013895295659</v>
      </c>
      <c r="L970" s="304">
        <f t="shared" ca="1" si="435"/>
        <v>568.65566813025941</v>
      </c>
      <c r="M970" s="306">
        <f t="shared" ca="1" si="451"/>
        <v>-1.5246889542825979</v>
      </c>
      <c r="N970" s="304">
        <f t="shared" ca="1" si="452"/>
        <v>-87.358242150607779</v>
      </c>
      <c r="P970" s="310">
        <f t="shared" ca="1" si="453"/>
        <v>23</v>
      </c>
      <c r="Q970" s="304">
        <f t="shared" ca="1" si="454"/>
        <v>0</v>
      </c>
      <c r="R970" s="306">
        <f t="shared" ca="1" si="455"/>
        <v>0</v>
      </c>
      <c r="S970" s="307">
        <f t="shared" ca="1" si="456"/>
        <v>6.1519999999999921</v>
      </c>
      <c r="T970" s="304">
        <f t="shared" ca="1" si="436"/>
        <v>60.351119999999923</v>
      </c>
      <c r="U970" s="311">
        <f t="shared" ca="1" si="437"/>
        <v>0</v>
      </c>
      <c r="V970" s="306">
        <f t="shared" ca="1" si="438"/>
        <v>1.2257055598333397</v>
      </c>
      <c r="W970" s="304">
        <f t="shared" ca="1" si="439"/>
        <v>52.21942137388114</v>
      </c>
      <c r="Y970" s="314" t="str">
        <f t="shared" ca="1" si="457"/>
        <v/>
      </c>
      <c r="Z970" s="315" t="str">
        <f t="shared" ca="1" si="458"/>
        <v/>
      </c>
      <c r="AA970" s="316" t="str">
        <f t="shared" ca="1" si="459"/>
        <v/>
      </c>
      <c r="AC970" s="310" t="e">
        <f t="shared" ca="1" si="460"/>
        <v>#N/A</v>
      </c>
      <c r="AD970" s="323" t="e">
        <f t="shared" ca="1" si="461"/>
        <v>#N/A</v>
      </c>
      <c r="AE970" s="324" t="e">
        <f t="shared" ca="1" si="440"/>
        <v>#N/A</v>
      </c>
      <c r="AG970" s="306">
        <f t="shared" ca="1" si="462"/>
        <v>1.3113997068828489</v>
      </c>
      <c r="AH970" s="304">
        <f t="shared" ca="1" si="463"/>
        <v>-8.4881744994855044</v>
      </c>
    </row>
    <row r="971" spans="1:34" x14ac:dyDescent="0.2">
      <c r="A971" s="347">
        <f t="shared" ca="1" si="441"/>
        <v>1E-4</v>
      </c>
      <c r="B971" s="304">
        <f t="shared" ca="1" si="442"/>
        <v>41.419300000000916</v>
      </c>
      <c r="D971" s="306">
        <f t="shared" ca="1" si="443"/>
        <v>-0.39123005853046627</v>
      </c>
      <c r="E971" s="307">
        <f t="shared" ca="1" si="444"/>
        <v>-1.3308184592128072</v>
      </c>
      <c r="F971" s="304">
        <f t="shared" ca="1" si="445"/>
        <v>1.3871332776915497</v>
      </c>
      <c r="G971" s="306">
        <f t="shared" ca="1" si="446"/>
        <v>6.2263983144171959</v>
      </c>
      <c r="H971" s="307">
        <f t="shared" ca="1" si="447"/>
        <v>-134.94654691970902</v>
      </c>
      <c r="I971" s="304">
        <f t="shared" ca="1" si="448"/>
        <v>135.09011274524499</v>
      </c>
      <c r="J971" s="306">
        <f t="shared" ca="1" si="449"/>
        <v>568.62651553779426</v>
      </c>
      <c r="K971" s="307">
        <f t="shared" ca="1" si="450"/>
        <v>-5.771508543333538</v>
      </c>
      <c r="L971" s="304">
        <f t="shared" ca="1" si="435"/>
        <v>568.6558049325788</v>
      </c>
      <c r="M971" s="306">
        <f t="shared" ca="1" si="451"/>
        <v>-1.5246892889873891</v>
      </c>
      <c r="N971" s="304">
        <f t="shared" ca="1" si="452"/>
        <v>-87.358261327779701</v>
      </c>
      <c r="P971" s="310">
        <f t="shared" ca="1" si="453"/>
        <v>23</v>
      </c>
      <c r="Q971" s="304">
        <f t="shared" ca="1" si="454"/>
        <v>0</v>
      </c>
      <c r="R971" s="306">
        <f t="shared" ca="1" si="455"/>
        <v>0</v>
      </c>
      <c r="S971" s="307">
        <f t="shared" ca="1" si="456"/>
        <v>6.1519999999999921</v>
      </c>
      <c r="T971" s="304">
        <f t="shared" ca="1" si="436"/>
        <v>60.351119999999923</v>
      </c>
      <c r="U971" s="311">
        <f t="shared" ca="1" si="437"/>
        <v>0</v>
      </c>
      <c r="V971" s="306">
        <f t="shared" ca="1" si="438"/>
        <v>1.2257072138811063</v>
      </c>
      <c r="W971" s="304">
        <f t="shared" ca="1" si="439"/>
        <v>52.21959322531626</v>
      </c>
      <c r="Y971" s="314" t="str">
        <f t="shared" ca="1" si="457"/>
        <v/>
      </c>
      <c r="Z971" s="315" t="str">
        <f t="shared" ca="1" si="458"/>
        <v/>
      </c>
      <c r="AA971" s="316" t="str">
        <f t="shared" ca="1" si="459"/>
        <v/>
      </c>
      <c r="AC971" s="310" t="e">
        <f t="shared" ca="1" si="460"/>
        <v>#N/A</v>
      </c>
      <c r="AD971" s="323" t="e">
        <f t="shared" ca="1" si="461"/>
        <v>#N/A</v>
      </c>
      <c r="AE971" s="324" t="e">
        <f t="shared" ca="1" si="440"/>
        <v>#N/A</v>
      </c>
      <c r="AG971" s="306">
        <f t="shared" ca="1" si="462"/>
        <v>1.3113719237220582</v>
      </c>
      <c r="AH971" s="304">
        <f t="shared" ca="1" si="463"/>
        <v>-8.4882024339858919</v>
      </c>
    </row>
    <row r="972" spans="1:34" x14ac:dyDescent="0.2">
      <c r="A972" s="347">
        <f t="shared" ca="1" si="441"/>
        <v>1E-4</v>
      </c>
      <c r="B972" s="304">
        <f t="shared" ca="1" si="442"/>
        <v>41.41940000000092</v>
      </c>
      <c r="D972" s="306">
        <f t="shared" ca="1" si="443"/>
        <v>-0.39122850801645653</v>
      </c>
      <c r="E972" s="307">
        <f t="shared" ca="1" si="444"/>
        <v>-1.3307904237150954</v>
      </c>
      <c r="F972" s="304">
        <f t="shared" ca="1" si="445"/>
        <v>1.3871059430831467</v>
      </c>
      <c r="G972" s="306">
        <f t="shared" ca="1" si="446"/>
        <v>6.2263591915663943</v>
      </c>
      <c r="H972" s="307">
        <f t="shared" ca="1" si="447"/>
        <v>-134.94667999875139</v>
      </c>
      <c r="I972" s="304">
        <f t="shared" ca="1" si="448"/>
        <v>135.09024387966664</v>
      </c>
      <c r="J972" s="306">
        <f t="shared" ca="1" si="449"/>
        <v>568.62651553779426</v>
      </c>
      <c r="K972" s="307">
        <f t="shared" ca="1" si="450"/>
        <v>-5.7850032046794606</v>
      </c>
      <c r="L972" s="304">
        <f t="shared" ca="1" si="435"/>
        <v>568.65594205523917</v>
      </c>
      <c r="M972" s="306">
        <f t="shared" ca="1" si="451"/>
        <v>-1.5246896236894276</v>
      </c>
      <c r="N972" s="304">
        <f t="shared" ca="1" si="452"/>
        <v>-87.35828050479391</v>
      </c>
      <c r="P972" s="310">
        <f t="shared" ca="1" si="453"/>
        <v>23</v>
      </c>
      <c r="Q972" s="304">
        <f t="shared" ca="1" si="454"/>
        <v>0</v>
      </c>
      <c r="R972" s="306">
        <f t="shared" ca="1" si="455"/>
        <v>0</v>
      </c>
      <c r="S972" s="307">
        <f t="shared" ca="1" si="456"/>
        <v>6.1519999999999921</v>
      </c>
      <c r="T972" s="304">
        <f t="shared" ca="1" si="436"/>
        <v>60.351119999999923</v>
      </c>
      <c r="U972" s="311">
        <f t="shared" ca="1" si="437"/>
        <v>0</v>
      </c>
      <c r="V972" s="306">
        <f t="shared" ca="1" si="438"/>
        <v>1.2257088679327366</v>
      </c>
      <c r="W972" s="304">
        <f t="shared" ca="1" si="439"/>
        <v>52.219765075140124</v>
      </c>
      <c r="Y972" s="314" t="str">
        <f t="shared" ca="1" si="457"/>
        <v/>
      </c>
      <c r="Z972" s="315" t="str">
        <f t="shared" ca="1" si="458"/>
        <v/>
      </c>
      <c r="AA972" s="316" t="str">
        <f t="shared" ca="1" si="459"/>
        <v/>
      </c>
      <c r="AC972" s="310" t="e">
        <f t="shared" ca="1" si="460"/>
        <v>#N/A</v>
      </c>
      <c r="AD972" s="323" t="e">
        <f t="shared" ca="1" si="461"/>
        <v>#N/A</v>
      </c>
      <c r="AE972" s="324" t="e">
        <f t="shared" ca="1" si="440"/>
        <v>#N/A</v>
      </c>
      <c r="AG972" s="306">
        <f t="shared" ca="1" si="462"/>
        <v>1.3113441408208324</v>
      </c>
      <c r="AH972" s="304">
        <f t="shared" ca="1" si="463"/>
        <v>-8.4882303682243698</v>
      </c>
    </row>
    <row r="973" spans="1:34" x14ac:dyDescent="0.2">
      <c r="A973" s="347">
        <f t="shared" ca="1" si="441"/>
        <v>1E-4</v>
      </c>
      <c r="B973" s="304">
        <f t="shared" ca="1" si="442"/>
        <v>41.419500000000923</v>
      </c>
      <c r="D973" s="306">
        <f t="shared" ca="1" si="443"/>
        <v>-0.39122695749499276</v>
      </c>
      <c r="E973" s="307">
        <f t="shared" ca="1" si="444"/>
        <v>-1.330762388480176</v>
      </c>
      <c r="F973" s="304">
        <f t="shared" ca="1" si="445"/>
        <v>1.3870786087544758</v>
      </c>
      <c r="G973" s="306">
        <f t="shared" ca="1" si="446"/>
        <v>6.2263200688706446</v>
      </c>
      <c r="H973" s="307">
        <f t="shared" ca="1" si="447"/>
        <v>-134.94681307499025</v>
      </c>
      <c r="I973" s="304">
        <f t="shared" ca="1" si="448"/>
        <v>135.09037501131004</v>
      </c>
      <c r="J973" s="306">
        <f t="shared" ca="1" si="449"/>
        <v>568.62651553779426</v>
      </c>
      <c r="K973" s="307">
        <f t="shared" ca="1" si="450"/>
        <v>-5.7984978793331479</v>
      </c>
      <c r="L973" s="304">
        <f t="shared" ca="1" si="435"/>
        <v>568.65607949824118</v>
      </c>
      <c r="M973" s="306">
        <f t="shared" ca="1" si="451"/>
        <v>-1.5246899583887132</v>
      </c>
      <c r="N973" s="304">
        <f t="shared" ca="1" si="452"/>
        <v>-87.358299681650379</v>
      </c>
      <c r="P973" s="310">
        <f t="shared" ca="1" si="453"/>
        <v>23</v>
      </c>
      <c r="Q973" s="304">
        <f t="shared" ca="1" si="454"/>
        <v>0</v>
      </c>
      <c r="R973" s="306">
        <f t="shared" ca="1" si="455"/>
        <v>0</v>
      </c>
      <c r="S973" s="307">
        <f t="shared" ca="1" si="456"/>
        <v>6.1519999999999921</v>
      </c>
      <c r="T973" s="304">
        <f t="shared" ca="1" si="436"/>
        <v>60.351119999999923</v>
      </c>
      <c r="U973" s="311">
        <f t="shared" ca="1" si="437"/>
        <v>0</v>
      </c>
      <c r="V973" s="306">
        <f t="shared" ca="1" si="438"/>
        <v>1.2257105219882305</v>
      </c>
      <c r="W973" s="304">
        <f t="shared" ca="1" si="439"/>
        <v>52.219936923352719</v>
      </c>
      <c r="Y973" s="314" t="str">
        <f t="shared" ca="1" si="457"/>
        <v/>
      </c>
      <c r="Z973" s="315" t="str">
        <f t="shared" ca="1" si="458"/>
        <v/>
      </c>
      <c r="AA973" s="316" t="str">
        <f t="shared" ca="1" si="459"/>
        <v/>
      </c>
      <c r="AC973" s="310" t="e">
        <f t="shared" ca="1" si="460"/>
        <v>#N/A</v>
      </c>
      <c r="AD973" s="323" t="e">
        <f t="shared" ca="1" si="461"/>
        <v>#N/A</v>
      </c>
      <c r="AE973" s="324" t="e">
        <f t="shared" ca="1" si="440"/>
        <v>#N/A</v>
      </c>
      <c r="AG973" s="306">
        <f t="shared" ca="1" si="462"/>
        <v>1.3113163581791731</v>
      </c>
      <c r="AH973" s="304">
        <f t="shared" ca="1" si="463"/>
        <v>-8.4882583022009417</v>
      </c>
    </row>
    <row r="974" spans="1:34" x14ac:dyDescent="0.2">
      <c r="A974" s="347">
        <f t="shared" ca="1" si="441"/>
        <v>1E-4</v>
      </c>
      <c r="B974" s="304">
        <f t="shared" ca="1" si="442"/>
        <v>41.419600000000926</v>
      </c>
      <c r="D974" s="306">
        <f t="shared" ca="1" si="443"/>
        <v>-0.39122540696607699</v>
      </c>
      <c r="E974" s="307">
        <f t="shared" ca="1" si="444"/>
        <v>-1.3307343535080545</v>
      </c>
      <c r="F974" s="304">
        <f t="shared" ca="1" si="445"/>
        <v>1.3870512747055432</v>
      </c>
      <c r="G974" s="306">
        <f t="shared" ca="1" si="446"/>
        <v>6.2262809463299478</v>
      </c>
      <c r="H974" s="307">
        <f t="shared" ca="1" si="447"/>
        <v>-134.94694614842561</v>
      </c>
      <c r="I974" s="304">
        <f t="shared" ca="1" si="448"/>
        <v>135.09050614017519</v>
      </c>
      <c r="J974" s="306">
        <f t="shared" ca="1" si="449"/>
        <v>568.62651553779426</v>
      </c>
      <c r="K974" s="307">
        <f t="shared" ca="1" si="450"/>
        <v>-5.8119925672943182</v>
      </c>
      <c r="L974" s="304">
        <f t="shared" ca="1" si="435"/>
        <v>568.65621726158565</v>
      </c>
      <c r="M974" s="306">
        <f t="shared" ca="1" si="451"/>
        <v>-1.524690293085246</v>
      </c>
      <c r="N974" s="304">
        <f t="shared" ca="1" si="452"/>
        <v>-87.358318858349122</v>
      </c>
      <c r="P974" s="310">
        <f t="shared" ca="1" si="453"/>
        <v>23</v>
      </c>
      <c r="Q974" s="304">
        <f t="shared" ca="1" si="454"/>
        <v>0</v>
      </c>
      <c r="R974" s="306">
        <f t="shared" ca="1" si="455"/>
        <v>0</v>
      </c>
      <c r="S974" s="307">
        <f t="shared" ca="1" si="456"/>
        <v>6.1519999999999921</v>
      </c>
      <c r="T974" s="304">
        <f t="shared" ca="1" si="436"/>
        <v>60.351119999999923</v>
      </c>
      <c r="U974" s="311">
        <f t="shared" ca="1" si="437"/>
        <v>0</v>
      </c>
      <c r="V974" s="306">
        <f t="shared" ca="1" si="438"/>
        <v>1.2257121760475884</v>
      </c>
      <c r="W974" s="304">
        <f t="shared" ca="1" si="439"/>
        <v>52.220108769954074</v>
      </c>
      <c r="Y974" s="314" t="str">
        <f t="shared" ca="1" si="457"/>
        <v/>
      </c>
      <c r="Z974" s="315" t="str">
        <f t="shared" ca="1" si="458"/>
        <v/>
      </c>
      <c r="AA974" s="316" t="str">
        <f t="shared" ca="1" si="459"/>
        <v/>
      </c>
      <c r="AC974" s="310" t="e">
        <f t="shared" ca="1" si="460"/>
        <v>#N/A</v>
      </c>
      <c r="AD974" s="323" t="e">
        <f t="shared" ca="1" si="461"/>
        <v>#N/A</v>
      </c>
      <c r="AE974" s="324" t="e">
        <f t="shared" ca="1" si="440"/>
        <v>#N/A</v>
      </c>
      <c r="AG974" s="306">
        <f t="shared" ca="1" si="462"/>
        <v>1.3112885757970805</v>
      </c>
      <c r="AH974" s="304">
        <f t="shared" ca="1" si="463"/>
        <v>-8.4882862359156022</v>
      </c>
    </row>
    <row r="975" spans="1:34" x14ac:dyDescent="0.2">
      <c r="A975" s="347">
        <f t="shared" ca="1" si="441"/>
        <v>1E-4</v>
      </c>
      <c r="B975" s="304">
        <f t="shared" ca="1" si="442"/>
        <v>41.41970000000093</v>
      </c>
      <c r="D975" s="306">
        <f t="shared" ca="1" si="443"/>
        <v>-0.39122385642971025</v>
      </c>
      <c r="E975" s="307">
        <f t="shared" ca="1" si="444"/>
        <v>-1.3307063187987236</v>
      </c>
      <c r="F975" s="304">
        <f t="shared" ca="1" si="445"/>
        <v>1.3870239409363434</v>
      </c>
      <c r="G975" s="306">
        <f t="shared" ca="1" si="446"/>
        <v>6.2262418239443047</v>
      </c>
      <c r="H975" s="307">
        <f t="shared" ca="1" si="447"/>
        <v>-134.94707921905749</v>
      </c>
      <c r="I975" s="304">
        <f t="shared" ca="1" si="448"/>
        <v>135.09063726626212</v>
      </c>
      <c r="J975" s="306">
        <f t="shared" ca="1" si="449"/>
        <v>568.62651553779426</v>
      </c>
      <c r="K975" s="307">
        <f t="shared" ca="1" si="450"/>
        <v>-5.8254872685626928</v>
      </c>
      <c r="L975" s="304">
        <f t="shared" ca="1" si="435"/>
        <v>568.65635534527314</v>
      </c>
      <c r="M975" s="306">
        <f t="shared" ca="1" si="451"/>
        <v>-1.524690627779026</v>
      </c>
      <c r="N975" s="304">
        <f t="shared" ca="1" si="452"/>
        <v>-87.358338034890139</v>
      </c>
      <c r="P975" s="310">
        <f t="shared" ca="1" si="453"/>
        <v>23</v>
      </c>
      <c r="Q975" s="304">
        <f t="shared" ca="1" si="454"/>
        <v>0</v>
      </c>
      <c r="R975" s="306">
        <f t="shared" ca="1" si="455"/>
        <v>0</v>
      </c>
      <c r="S975" s="307">
        <f t="shared" ca="1" si="456"/>
        <v>6.1519999999999921</v>
      </c>
      <c r="T975" s="304">
        <f t="shared" ca="1" si="436"/>
        <v>60.351119999999923</v>
      </c>
      <c r="U975" s="311">
        <f t="shared" ca="1" si="437"/>
        <v>0</v>
      </c>
      <c r="V975" s="306">
        <f t="shared" ca="1" si="438"/>
        <v>1.2257138301108099</v>
      </c>
      <c r="W975" s="304">
        <f t="shared" ca="1" si="439"/>
        <v>52.220280614944151</v>
      </c>
      <c r="Y975" s="314" t="str">
        <f t="shared" ca="1" si="457"/>
        <v/>
      </c>
      <c r="Z975" s="315" t="str">
        <f t="shared" ca="1" si="458"/>
        <v/>
      </c>
      <c r="AA975" s="316" t="str">
        <f t="shared" ca="1" si="459"/>
        <v/>
      </c>
      <c r="AC975" s="310" t="e">
        <f t="shared" ca="1" si="460"/>
        <v>#N/A</v>
      </c>
      <c r="AD975" s="323" t="e">
        <f t="shared" ca="1" si="461"/>
        <v>#N/A</v>
      </c>
      <c r="AE975" s="324" t="e">
        <f t="shared" ca="1" si="440"/>
        <v>#N/A</v>
      </c>
      <c r="AG975" s="306">
        <f t="shared" ca="1" si="462"/>
        <v>1.3112607936745491</v>
      </c>
      <c r="AH975" s="304">
        <f t="shared" ca="1" si="463"/>
        <v>-8.4883141693683584</v>
      </c>
    </row>
    <row r="976" spans="1:34" x14ac:dyDescent="0.2">
      <c r="A976" s="347">
        <f t="shared" ca="1" si="441"/>
        <v>1E-4</v>
      </c>
      <c r="B976" s="304">
        <f t="shared" ca="1" si="442"/>
        <v>41.419800000000933</v>
      </c>
      <c r="D976" s="306">
        <f t="shared" ca="1" si="443"/>
        <v>-0.39122230588589058</v>
      </c>
      <c r="E976" s="307">
        <f t="shared" ca="1" si="444"/>
        <v>-1.3306782843521905</v>
      </c>
      <c r="F976" s="304">
        <f t="shared" ca="1" si="445"/>
        <v>1.3869966074468829</v>
      </c>
      <c r="G976" s="306">
        <f t="shared" ca="1" si="446"/>
        <v>6.2262027017137163</v>
      </c>
      <c r="H976" s="307">
        <f t="shared" ca="1" si="447"/>
        <v>-134.94721228688593</v>
      </c>
      <c r="I976" s="304">
        <f t="shared" ca="1" si="448"/>
        <v>135.09076838957088</v>
      </c>
      <c r="J976" s="306">
        <f t="shared" ca="1" si="449"/>
        <v>568.62651553779426</v>
      </c>
      <c r="K976" s="307">
        <f t="shared" ca="1" si="450"/>
        <v>-5.8389819831379901</v>
      </c>
      <c r="L976" s="304">
        <f t="shared" ca="1" si="435"/>
        <v>568.65649374930445</v>
      </c>
      <c r="M976" s="306">
        <f t="shared" ca="1" si="451"/>
        <v>-1.5246909624700533</v>
      </c>
      <c r="N976" s="304">
        <f t="shared" ca="1" si="452"/>
        <v>-87.358357211273443</v>
      </c>
      <c r="P976" s="310">
        <f t="shared" ca="1" si="453"/>
        <v>23</v>
      </c>
      <c r="Q976" s="304">
        <f t="shared" ca="1" si="454"/>
        <v>0</v>
      </c>
      <c r="R976" s="306">
        <f t="shared" ca="1" si="455"/>
        <v>0</v>
      </c>
      <c r="S976" s="307">
        <f t="shared" ca="1" si="456"/>
        <v>6.1519999999999921</v>
      </c>
      <c r="T976" s="304">
        <f t="shared" ca="1" si="436"/>
        <v>60.351119999999923</v>
      </c>
      <c r="U976" s="311">
        <f t="shared" ca="1" si="437"/>
        <v>0</v>
      </c>
      <c r="V976" s="306">
        <f t="shared" ca="1" si="438"/>
        <v>1.2257154841778959</v>
      </c>
      <c r="W976" s="304">
        <f t="shared" ca="1" si="439"/>
        <v>52.220452458323038</v>
      </c>
      <c r="Y976" s="314" t="str">
        <f t="shared" ca="1" si="457"/>
        <v/>
      </c>
      <c r="Z976" s="315" t="str">
        <f t="shared" ca="1" si="458"/>
        <v/>
      </c>
      <c r="AA976" s="316" t="str">
        <f t="shared" ca="1" si="459"/>
        <v/>
      </c>
      <c r="AC976" s="310" t="e">
        <f t="shared" ca="1" si="460"/>
        <v>#N/A</v>
      </c>
      <c r="AD976" s="323" t="e">
        <f t="shared" ca="1" si="461"/>
        <v>#N/A</v>
      </c>
      <c r="AE976" s="324" t="e">
        <f t="shared" ca="1" si="440"/>
        <v>#N/A</v>
      </c>
      <c r="AG976" s="306">
        <f t="shared" ca="1" si="462"/>
        <v>1.3112330118115896</v>
      </c>
      <c r="AH976" s="304">
        <f t="shared" ca="1" si="463"/>
        <v>-8.4883421025592032</v>
      </c>
    </row>
    <row r="977" spans="1:34" x14ac:dyDescent="0.2">
      <c r="A977" s="347">
        <f t="shared" ca="1" si="441"/>
        <v>1E-4</v>
      </c>
      <c r="B977" s="304">
        <f t="shared" ca="1" si="442"/>
        <v>41.419900000000936</v>
      </c>
      <c r="D977" s="306">
        <f t="shared" ca="1" si="443"/>
        <v>-0.39122075533461925</v>
      </c>
      <c r="E977" s="307">
        <f t="shared" ca="1" si="444"/>
        <v>-1.330650250168441</v>
      </c>
      <c r="F977" s="304">
        <f t="shared" ca="1" si="445"/>
        <v>1.3869692742371493</v>
      </c>
      <c r="G977" s="306">
        <f t="shared" ca="1" si="446"/>
        <v>6.2261635796381825</v>
      </c>
      <c r="H977" s="307">
        <f t="shared" ca="1" si="447"/>
        <v>-134.94734535191094</v>
      </c>
      <c r="I977" s="304">
        <f t="shared" ca="1" si="448"/>
        <v>135.09089951010148</v>
      </c>
      <c r="J977" s="306">
        <f t="shared" ca="1" si="449"/>
        <v>568.62651553779426</v>
      </c>
      <c r="K977" s="307">
        <f t="shared" ca="1" si="450"/>
        <v>-5.8524767110199303</v>
      </c>
      <c r="L977" s="304">
        <f t="shared" ca="1" si="435"/>
        <v>568.65663247368036</v>
      </c>
      <c r="M977" s="306">
        <f t="shared" ca="1" si="451"/>
        <v>-1.5246912971583277</v>
      </c>
      <c r="N977" s="304">
        <f t="shared" ca="1" si="452"/>
        <v>-87.358376387499021</v>
      </c>
      <c r="P977" s="310">
        <f t="shared" ca="1" si="453"/>
        <v>23</v>
      </c>
      <c r="Q977" s="304">
        <f t="shared" ca="1" si="454"/>
        <v>0</v>
      </c>
      <c r="R977" s="306">
        <f t="shared" ca="1" si="455"/>
        <v>0</v>
      </c>
      <c r="S977" s="307">
        <f t="shared" ca="1" si="456"/>
        <v>6.1519999999999921</v>
      </c>
      <c r="T977" s="304">
        <f t="shared" ca="1" si="436"/>
        <v>60.351119999999923</v>
      </c>
      <c r="U977" s="311">
        <f t="shared" ca="1" si="437"/>
        <v>0</v>
      </c>
      <c r="V977" s="306">
        <f t="shared" ca="1" si="438"/>
        <v>1.2257171382488452</v>
      </c>
      <c r="W977" s="304">
        <f t="shared" ca="1" si="439"/>
        <v>52.22062430009067</v>
      </c>
      <c r="Y977" s="314" t="str">
        <f t="shared" ca="1" si="457"/>
        <v/>
      </c>
      <c r="Z977" s="315" t="str">
        <f t="shared" ca="1" si="458"/>
        <v/>
      </c>
      <c r="AA977" s="316" t="str">
        <f t="shared" ca="1" si="459"/>
        <v/>
      </c>
      <c r="AC977" s="310" t="e">
        <f t="shared" ca="1" si="460"/>
        <v>#N/A</v>
      </c>
      <c r="AD977" s="323" t="e">
        <f t="shared" ca="1" si="461"/>
        <v>#N/A</v>
      </c>
      <c r="AE977" s="324" t="e">
        <f t="shared" ca="1" si="440"/>
        <v>#N/A</v>
      </c>
      <c r="AG977" s="306">
        <f t="shared" ca="1" si="462"/>
        <v>1.3112052302081842</v>
      </c>
      <c r="AH977" s="304">
        <f t="shared" ca="1" si="463"/>
        <v>-8.4883700354881508</v>
      </c>
    </row>
    <row r="978" spans="1:34" x14ac:dyDescent="0.2">
      <c r="A978" s="347">
        <f t="shared" ca="1" si="441"/>
        <v>1E-4</v>
      </c>
      <c r="B978" s="304">
        <f t="shared" ca="1" si="442"/>
        <v>41.42000000000094</v>
      </c>
      <c r="D978" s="306">
        <f t="shared" ca="1" si="443"/>
        <v>-0.39121920477589811</v>
      </c>
      <c r="E978" s="307">
        <f t="shared" ca="1" si="444"/>
        <v>-1.3306222162474874</v>
      </c>
      <c r="F978" s="304">
        <f t="shared" ca="1" si="445"/>
        <v>1.3869419413071555</v>
      </c>
      <c r="G978" s="306">
        <f t="shared" ca="1" si="446"/>
        <v>6.2261244577177051</v>
      </c>
      <c r="H978" s="307">
        <f t="shared" ca="1" si="447"/>
        <v>-134.94747841413258</v>
      </c>
      <c r="I978" s="304">
        <f t="shared" ca="1" si="448"/>
        <v>135.09103062785394</v>
      </c>
      <c r="J978" s="306">
        <f t="shared" ca="1" si="449"/>
        <v>568.62651553779426</v>
      </c>
      <c r="K978" s="307">
        <f t="shared" ca="1" si="450"/>
        <v>-5.8659714522082327</v>
      </c>
      <c r="L978" s="304">
        <f t="shared" ca="1" si="435"/>
        <v>568.65677151840146</v>
      </c>
      <c r="M978" s="306">
        <f t="shared" ca="1" si="451"/>
        <v>-1.5246916318438497</v>
      </c>
      <c r="N978" s="304">
        <f t="shared" ca="1" si="452"/>
        <v>-87.358395563566901</v>
      </c>
      <c r="P978" s="310">
        <f t="shared" ca="1" si="453"/>
        <v>23</v>
      </c>
      <c r="Q978" s="304">
        <f t="shared" ca="1" si="454"/>
        <v>0</v>
      </c>
      <c r="R978" s="306">
        <f t="shared" ca="1" si="455"/>
        <v>0</v>
      </c>
      <c r="S978" s="307">
        <f t="shared" ca="1" si="456"/>
        <v>6.1519999999999921</v>
      </c>
      <c r="T978" s="304">
        <f t="shared" ca="1" si="436"/>
        <v>60.351119999999923</v>
      </c>
      <c r="U978" s="311">
        <f t="shared" ca="1" si="437"/>
        <v>0</v>
      </c>
      <c r="V978" s="306">
        <f t="shared" ca="1" si="438"/>
        <v>1.2257187923236581</v>
      </c>
      <c r="W978" s="304">
        <f t="shared" ca="1" si="439"/>
        <v>52.220796140247053</v>
      </c>
      <c r="Y978" s="314" t="str">
        <f t="shared" ca="1" si="457"/>
        <v/>
      </c>
      <c r="Z978" s="315" t="str">
        <f t="shared" ca="1" si="458"/>
        <v/>
      </c>
      <c r="AA978" s="316" t="str">
        <f t="shared" ca="1" si="459"/>
        <v/>
      </c>
      <c r="AC978" s="310" t="e">
        <f t="shared" ca="1" si="460"/>
        <v>#N/A</v>
      </c>
      <c r="AD978" s="323" t="e">
        <f t="shared" ca="1" si="461"/>
        <v>#N/A</v>
      </c>
      <c r="AE978" s="324" t="e">
        <f t="shared" ca="1" si="440"/>
        <v>#N/A</v>
      </c>
      <c r="AG978" s="306">
        <f t="shared" ca="1" si="462"/>
        <v>1.311177448864342</v>
      </c>
      <c r="AH978" s="304">
        <f t="shared" ca="1" si="463"/>
        <v>-8.4883979681551907</v>
      </c>
    </row>
    <row r="979" spans="1:34" x14ac:dyDescent="0.2">
      <c r="A979" s="347">
        <f t="shared" ca="1" si="441"/>
        <v>1E-4</v>
      </c>
      <c r="B979" s="304">
        <f t="shared" ca="1" si="442"/>
        <v>41.420100000000943</v>
      </c>
      <c r="D979" s="306">
        <f t="shared" ca="1" si="443"/>
        <v>-0.39121765420972404</v>
      </c>
      <c r="E979" s="307">
        <f t="shared" ca="1" si="444"/>
        <v>-1.3305941825893246</v>
      </c>
      <c r="F979" s="304">
        <f t="shared" ca="1" si="445"/>
        <v>1.3869146086568964</v>
      </c>
      <c r="G979" s="306">
        <f t="shared" ca="1" si="446"/>
        <v>6.2260853359522841</v>
      </c>
      <c r="H979" s="307">
        <f t="shared" ca="1" si="447"/>
        <v>-134.94761147355084</v>
      </c>
      <c r="I979" s="304">
        <f t="shared" ca="1" si="448"/>
        <v>135.09116174282829</v>
      </c>
      <c r="J979" s="306">
        <f t="shared" ca="1" si="449"/>
        <v>568.62651553779426</v>
      </c>
      <c r="K979" s="307">
        <f t="shared" ca="1" si="450"/>
        <v>-5.8794662067026167</v>
      </c>
      <c r="L979" s="304">
        <f t="shared" ca="1" si="435"/>
        <v>568.65691088346853</v>
      </c>
      <c r="M979" s="306">
        <f t="shared" ca="1" si="451"/>
        <v>-1.5246919665266188</v>
      </c>
      <c r="N979" s="304">
        <f t="shared" ca="1" si="452"/>
        <v>-87.358414739477041</v>
      </c>
      <c r="P979" s="310">
        <f t="shared" ca="1" si="453"/>
        <v>23</v>
      </c>
      <c r="Q979" s="304">
        <f t="shared" ca="1" si="454"/>
        <v>0</v>
      </c>
      <c r="R979" s="306">
        <f t="shared" ca="1" si="455"/>
        <v>0</v>
      </c>
      <c r="S979" s="307">
        <f t="shared" ca="1" si="456"/>
        <v>6.1519999999999921</v>
      </c>
      <c r="T979" s="304">
        <f t="shared" ca="1" si="436"/>
        <v>60.351119999999923</v>
      </c>
      <c r="U979" s="311">
        <f t="shared" ca="1" si="437"/>
        <v>0</v>
      </c>
      <c r="V979" s="306">
        <f t="shared" ca="1" si="438"/>
        <v>1.2257204464023348</v>
      </c>
      <c r="W979" s="304">
        <f t="shared" ca="1" si="439"/>
        <v>52.220967978792224</v>
      </c>
      <c r="Y979" s="314" t="str">
        <f t="shared" ca="1" si="457"/>
        <v/>
      </c>
      <c r="Z979" s="315" t="str">
        <f t="shared" ca="1" si="458"/>
        <v/>
      </c>
      <c r="AA979" s="316" t="str">
        <f t="shared" ca="1" si="459"/>
        <v/>
      </c>
      <c r="AC979" s="310" t="e">
        <f t="shared" ca="1" si="460"/>
        <v>#N/A</v>
      </c>
      <c r="AD979" s="323" t="e">
        <f t="shared" ca="1" si="461"/>
        <v>#N/A</v>
      </c>
      <c r="AE979" s="324" t="e">
        <f t="shared" ca="1" si="440"/>
        <v>#N/A</v>
      </c>
      <c r="AG979" s="306">
        <f t="shared" ca="1" si="462"/>
        <v>1.3111496677800663</v>
      </c>
      <c r="AH979" s="304">
        <f t="shared" ca="1" si="463"/>
        <v>-8.4884259005603244</v>
      </c>
    </row>
    <row r="980" spans="1:34" x14ac:dyDescent="0.2">
      <c r="A980" s="347">
        <f t="shared" ca="1" si="441"/>
        <v>1E-4</v>
      </c>
      <c r="B980" s="304">
        <f t="shared" ca="1" si="442"/>
        <v>41.420200000000946</v>
      </c>
      <c r="D980" s="306">
        <f t="shared" ca="1" si="443"/>
        <v>-0.39121610363610143</v>
      </c>
      <c r="E980" s="307">
        <f t="shared" ca="1" si="444"/>
        <v>-1.3305661491939507</v>
      </c>
      <c r="F980" s="304">
        <f t="shared" ca="1" si="445"/>
        <v>1.386887276286372</v>
      </c>
      <c r="G980" s="306">
        <f t="shared" ca="1" si="446"/>
        <v>6.2260462143419204</v>
      </c>
      <c r="H980" s="307">
        <f t="shared" ca="1" si="447"/>
        <v>-134.94774453016575</v>
      </c>
      <c r="I980" s="304">
        <f t="shared" ca="1" si="448"/>
        <v>135.09129285502453</v>
      </c>
      <c r="J980" s="306">
        <f t="shared" ca="1" si="449"/>
        <v>568.62651553779426</v>
      </c>
      <c r="K980" s="307">
        <f t="shared" ca="1" si="450"/>
        <v>-5.8929609745028024</v>
      </c>
      <c r="L980" s="304">
        <f t="shared" ca="1" si="435"/>
        <v>568.65705056888225</v>
      </c>
      <c r="M980" s="306">
        <f t="shared" ca="1" si="451"/>
        <v>-1.5246923012066353</v>
      </c>
      <c r="N980" s="304">
        <f t="shared" ca="1" si="452"/>
        <v>-87.358433915229483</v>
      </c>
      <c r="P980" s="310">
        <f t="shared" ca="1" si="453"/>
        <v>23</v>
      </c>
      <c r="Q980" s="304">
        <f t="shared" ca="1" si="454"/>
        <v>0</v>
      </c>
      <c r="R980" s="306">
        <f t="shared" ca="1" si="455"/>
        <v>0</v>
      </c>
      <c r="S980" s="307">
        <f t="shared" ca="1" si="456"/>
        <v>6.1519999999999921</v>
      </c>
      <c r="T980" s="304">
        <f t="shared" ca="1" si="436"/>
        <v>60.351119999999923</v>
      </c>
      <c r="U980" s="311">
        <f t="shared" ca="1" si="437"/>
        <v>0</v>
      </c>
      <c r="V980" s="306">
        <f t="shared" ca="1" si="438"/>
        <v>1.2257221004848755</v>
      </c>
      <c r="W980" s="304">
        <f t="shared" ca="1" si="439"/>
        <v>52.221139815726168</v>
      </c>
      <c r="Y980" s="314" t="str">
        <f t="shared" ca="1" si="457"/>
        <v/>
      </c>
      <c r="Z980" s="315" t="str">
        <f t="shared" ca="1" si="458"/>
        <v/>
      </c>
      <c r="AA980" s="316" t="str">
        <f t="shared" ca="1" si="459"/>
        <v/>
      </c>
      <c r="AC980" s="310" t="e">
        <f t="shared" ca="1" si="460"/>
        <v>#N/A</v>
      </c>
      <c r="AD980" s="323" t="e">
        <f t="shared" ca="1" si="461"/>
        <v>#N/A</v>
      </c>
      <c r="AE980" s="324" t="e">
        <f t="shared" ca="1" si="440"/>
        <v>#N/A</v>
      </c>
      <c r="AG980" s="306">
        <f t="shared" ca="1" si="462"/>
        <v>1.3111218869553465</v>
      </c>
      <c r="AH980" s="304">
        <f t="shared" ca="1" si="463"/>
        <v>-8.4884538327035575</v>
      </c>
    </row>
    <row r="981" spans="1:34" x14ac:dyDescent="0.2">
      <c r="A981" s="347">
        <f t="shared" ca="1" si="441"/>
        <v>1E-4</v>
      </c>
      <c r="B981" s="304">
        <f t="shared" ca="1" si="442"/>
        <v>41.42030000000095</v>
      </c>
      <c r="D981" s="306">
        <f t="shared" ca="1" si="443"/>
        <v>-0.391214553055027</v>
      </c>
      <c r="E981" s="307">
        <f t="shared" ca="1" si="444"/>
        <v>-1.3305381160613656</v>
      </c>
      <c r="F981" s="304">
        <f t="shared" ca="1" si="445"/>
        <v>1.386859944195582</v>
      </c>
      <c r="G981" s="306">
        <f t="shared" ca="1" si="446"/>
        <v>6.2260070928866149</v>
      </c>
      <c r="H981" s="307">
        <f t="shared" ca="1" si="447"/>
        <v>-134.94787758397734</v>
      </c>
      <c r="I981" s="304">
        <f t="shared" ca="1" si="448"/>
        <v>135.09142396444273</v>
      </c>
      <c r="J981" s="306">
        <f t="shared" ca="1" si="449"/>
        <v>568.62651553779426</v>
      </c>
      <c r="K981" s="307">
        <f t="shared" ca="1" si="450"/>
        <v>-5.9064557556085093</v>
      </c>
      <c r="L981" s="304">
        <f t="shared" ca="1" si="435"/>
        <v>568.65719057464344</v>
      </c>
      <c r="M981" s="306">
        <f t="shared" ca="1" si="451"/>
        <v>-1.5246926358838992</v>
      </c>
      <c r="N981" s="304">
        <f t="shared" ca="1" si="452"/>
        <v>-87.358453090824199</v>
      </c>
      <c r="P981" s="310">
        <f t="shared" ca="1" si="453"/>
        <v>23</v>
      </c>
      <c r="Q981" s="304">
        <f t="shared" ca="1" si="454"/>
        <v>0</v>
      </c>
      <c r="R981" s="306">
        <f t="shared" ca="1" si="455"/>
        <v>0</v>
      </c>
      <c r="S981" s="307">
        <f t="shared" ca="1" si="456"/>
        <v>6.1519999999999921</v>
      </c>
      <c r="T981" s="304">
        <f t="shared" ca="1" si="436"/>
        <v>60.351119999999923</v>
      </c>
      <c r="U981" s="311">
        <f t="shared" ca="1" si="437"/>
        <v>0</v>
      </c>
      <c r="V981" s="306">
        <f t="shared" ca="1" si="438"/>
        <v>1.2257237545712798</v>
      </c>
      <c r="W981" s="304">
        <f t="shared" ca="1" si="439"/>
        <v>52.221311651048886</v>
      </c>
      <c r="Y981" s="314" t="str">
        <f t="shared" ca="1" si="457"/>
        <v/>
      </c>
      <c r="Z981" s="315" t="str">
        <f t="shared" ca="1" si="458"/>
        <v/>
      </c>
      <c r="AA981" s="316" t="str">
        <f t="shared" ca="1" si="459"/>
        <v/>
      </c>
      <c r="AC981" s="310" t="e">
        <f t="shared" ca="1" si="460"/>
        <v>#N/A</v>
      </c>
      <c r="AD981" s="323" t="e">
        <f t="shared" ca="1" si="461"/>
        <v>#N/A</v>
      </c>
      <c r="AE981" s="324" t="e">
        <f t="shared" ca="1" si="440"/>
        <v>#N/A</v>
      </c>
      <c r="AG981" s="306">
        <f t="shared" ca="1" si="462"/>
        <v>1.311094106390188</v>
      </c>
      <c r="AH981" s="304">
        <f t="shared" ca="1" si="463"/>
        <v>-8.488481764584888</v>
      </c>
    </row>
    <row r="982" spans="1:34" x14ac:dyDescent="0.2">
      <c r="A982" s="347">
        <f t="shared" ca="1" si="441"/>
        <v>1E-4</v>
      </c>
      <c r="B982" s="304">
        <f t="shared" ca="1" si="442"/>
        <v>41.420400000000953</v>
      </c>
      <c r="D982" s="306">
        <f t="shared" ca="1" si="443"/>
        <v>-0.39121300246650315</v>
      </c>
      <c r="E982" s="307">
        <f t="shared" ca="1" si="444"/>
        <v>-1.3305100831915713</v>
      </c>
      <c r="F982" s="304">
        <f t="shared" ca="1" si="445"/>
        <v>1.3868326123845292</v>
      </c>
      <c r="G982" s="306">
        <f t="shared" ca="1" si="446"/>
        <v>6.2259679715863685</v>
      </c>
      <c r="H982" s="307">
        <f t="shared" ca="1" si="447"/>
        <v>-134.94801063498565</v>
      </c>
      <c r="I982" s="304">
        <f t="shared" ca="1" si="448"/>
        <v>135.09155507108287</v>
      </c>
      <c r="J982" s="306">
        <f t="shared" ca="1" si="449"/>
        <v>568.62651553779426</v>
      </c>
      <c r="K982" s="307">
        <f t="shared" ca="1" si="450"/>
        <v>-5.9199505500194576</v>
      </c>
      <c r="L982" s="304">
        <f t="shared" ca="1" si="435"/>
        <v>568.65733090075264</v>
      </c>
      <c r="M982" s="306">
        <f t="shared" ca="1" si="451"/>
        <v>-1.5246929705584107</v>
      </c>
      <c r="N982" s="304">
        <f t="shared" ca="1" si="452"/>
        <v>-87.358472266261217</v>
      </c>
      <c r="P982" s="310">
        <f t="shared" ca="1" si="453"/>
        <v>23</v>
      </c>
      <c r="Q982" s="304">
        <f t="shared" ca="1" si="454"/>
        <v>0</v>
      </c>
      <c r="R982" s="306">
        <f t="shared" ca="1" si="455"/>
        <v>0</v>
      </c>
      <c r="S982" s="307">
        <f t="shared" ca="1" si="456"/>
        <v>6.1519999999999921</v>
      </c>
      <c r="T982" s="304">
        <f t="shared" ca="1" si="436"/>
        <v>60.351119999999923</v>
      </c>
      <c r="U982" s="311">
        <f t="shared" ca="1" si="437"/>
        <v>0</v>
      </c>
      <c r="V982" s="306">
        <f t="shared" ca="1" si="438"/>
        <v>1.2257254086615477</v>
      </c>
      <c r="W982" s="304">
        <f t="shared" ca="1" si="439"/>
        <v>52.221483484760377</v>
      </c>
      <c r="Y982" s="314" t="str">
        <f t="shared" ca="1" si="457"/>
        <v/>
      </c>
      <c r="Z982" s="315" t="str">
        <f t="shared" ca="1" si="458"/>
        <v/>
      </c>
      <c r="AA982" s="316" t="str">
        <f t="shared" ca="1" si="459"/>
        <v/>
      </c>
      <c r="AC982" s="310" t="e">
        <f t="shared" ca="1" si="460"/>
        <v>#N/A</v>
      </c>
      <c r="AD982" s="323" t="e">
        <f t="shared" ca="1" si="461"/>
        <v>#N/A</v>
      </c>
      <c r="AE982" s="324" t="e">
        <f t="shared" ca="1" si="440"/>
        <v>#N/A</v>
      </c>
      <c r="AG982" s="306">
        <f t="shared" ca="1" si="462"/>
        <v>1.3110663260845907</v>
      </c>
      <c r="AH982" s="304">
        <f t="shared" ca="1" si="463"/>
        <v>-8.4885096962043161</v>
      </c>
    </row>
    <row r="983" spans="1:34" x14ac:dyDescent="0.2">
      <c r="A983" s="347">
        <f t="shared" ca="1" si="441"/>
        <v>1E-4</v>
      </c>
      <c r="B983" s="304">
        <f t="shared" ca="1" si="442"/>
        <v>41.420500000000956</v>
      </c>
      <c r="D983" s="306">
        <f t="shared" ca="1" si="443"/>
        <v>-0.39121145187052841</v>
      </c>
      <c r="E983" s="307">
        <f t="shared" ca="1" si="444"/>
        <v>-1.3304820505845658</v>
      </c>
      <c r="F983" s="304">
        <f t="shared" ca="1" si="445"/>
        <v>1.3868052808532125</v>
      </c>
      <c r="G983" s="306">
        <f t="shared" ca="1" si="446"/>
        <v>6.2259288504411812</v>
      </c>
      <c r="H983" s="307">
        <f t="shared" ca="1" si="447"/>
        <v>-134.94814368319072</v>
      </c>
      <c r="I983" s="304">
        <f t="shared" ca="1" si="448"/>
        <v>135.09168617494507</v>
      </c>
      <c r="J983" s="306">
        <f t="shared" ca="1" si="449"/>
        <v>568.62651553779426</v>
      </c>
      <c r="K983" s="307">
        <f t="shared" ca="1" si="450"/>
        <v>-5.9334453577353665</v>
      </c>
      <c r="L983" s="304">
        <f t="shared" ca="1" si="435"/>
        <v>568.65747154721055</v>
      </c>
      <c r="M983" s="306">
        <f t="shared" ca="1" si="451"/>
        <v>-1.5246933052301697</v>
      </c>
      <c r="N983" s="304">
        <f t="shared" ca="1" si="452"/>
        <v>-87.358491441540522</v>
      </c>
      <c r="P983" s="310">
        <f t="shared" ca="1" si="453"/>
        <v>23</v>
      </c>
      <c r="Q983" s="304">
        <f t="shared" ca="1" si="454"/>
        <v>0</v>
      </c>
      <c r="R983" s="306">
        <f t="shared" ca="1" si="455"/>
        <v>0</v>
      </c>
      <c r="S983" s="307">
        <f t="shared" ca="1" si="456"/>
        <v>6.1519999999999921</v>
      </c>
      <c r="T983" s="304">
        <f t="shared" ca="1" si="436"/>
        <v>60.351119999999923</v>
      </c>
      <c r="U983" s="311">
        <f t="shared" ca="1" si="437"/>
        <v>0</v>
      </c>
      <c r="V983" s="306">
        <f t="shared" ca="1" si="438"/>
        <v>1.2257270627556793</v>
      </c>
      <c r="W983" s="304">
        <f t="shared" ca="1" si="439"/>
        <v>52.22165531686074</v>
      </c>
      <c r="Y983" s="314" t="str">
        <f t="shared" ca="1" si="457"/>
        <v/>
      </c>
      <c r="Z983" s="315" t="str">
        <f t="shared" ca="1" si="458"/>
        <v/>
      </c>
      <c r="AA983" s="316" t="str">
        <f t="shared" ca="1" si="459"/>
        <v/>
      </c>
      <c r="AC983" s="310" t="e">
        <f t="shared" ca="1" si="460"/>
        <v>#N/A</v>
      </c>
      <c r="AD983" s="323" t="e">
        <f t="shared" ca="1" si="461"/>
        <v>#N/A</v>
      </c>
      <c r="AE983" s="324" t="e">
        <f t="shared" ca="1" si="440"/>
        <v>#N/A</v>
      </c>
      <c r="AG983" s="306">
        <f t="shared" ca="1" si="462"/>
        <v>1.3110385460385547</v>
      </c>
      <c r="AH983" s="304">
        <f t="shared" ca="1" si="463"/>
        <v>-8.4885376275618398</v>
      </c>
    </row>
    <row r="984" spans="1:34" x14ac:dyDescent="0.2">
      <c r="A984" s="347">
        <f t="shared" ca="1" si="441"/>
        <v>1E-4</v>
      </c>
      <c r="B984" s="304">
        <f t="shared" ca="1" si="442"/>
        <v>41.42060000000096</v>
      </c>
      <c r="D984" s="306">
        <f t="shared" ca="1" si="443"/>
        <v>-0.39120990126710409</v>
      </c>
      <c r="E984" s="307">
        <f t="shared" ca="1" si="444"/>
        <v>-1.3304540182403315</v>
      </c>
      <c r="F984" s="304">
        <f t="shared" ca="1" si="445"/>
        <v>1.3867779496016157</v>
      </c>
      <c r="G984" s="306">
        <f t="shared" ca="1" si="446"/>
        <v>6.2258897294510547</v>
      </c>
      <c r="H984" s="307">
        <f t="shared" ca="1" si="447"/>
        <v>-134.94827672859253</v>
      </c>
      <c r="I984" s="304">
        <f t="shared" ca="1" si="448"/>
        <v>135.09181727602922</v>
      </c>
      <c r="J984" s="306">
        <f t="shared" ca="1" si="449"/>
        <v>568.62651553779426</v>
      </c>
      <c r="K984" s="307">
        <f t="shared" ca="1" si="450"/>
        <v>-5.9469401787559555</v>
      </c>
      <c r="L984" s="304">
        <f t="shared" ca="1" si="435"/>
        <v>568.65761251401807</v>
      </c>
      <c r="M984" s="306">
        <f t="shared" ca="1" si="451"/>
        <v>-1.5246936398991759</v>
      </c>
      <c r="N984" s="304">
        <f t="shared" ca="1" si="452"/>
        <v>-87.358510616662116</v>
      </c>
      <c r="P984" s="310">
        <f t="shared" ca="1" si="453"/>
        <v>23</v>
      </c>
      <c r="Q984" s="304">
        <f t="shared" ca="1" si="454"/>
        <v>0</v>
      </c>
      <c r="R984" s="306">
        <f t="shared" ca="1" si="455"/>
        <v>0</v>
      </c>
      <c r="S984" s="307">
        <f t="shared" ca="1" si="456"/>
        <v>6.1519999999999921</v>
      </c>
      <c r="T984" s="304">
        <f t="shared" ca="1" si="436"/>
        <v>60.351119999999923</v>
      </c>
      <c r="U984" s="311">
        <f t="shared" ca="1" si="437"/>
        <v>0</v>
      </c>
      <c r="V984" s="306">
        <f t="shared" ca="1" si="438"/>
        <v>1.2257287168536748</v>
      </c>
      <c r="W984" s="304">
        <f t="shared" ca="1" si="439"/>
        <v>52.221827147349835</v>
      </c>
      <c r="Y984" s="314" t="str">
        <f t="shared" ca="1" si="457"/>
        <v/>
      </c>
      <c r="Z984" s="315" t="str">
        <f t="shared" ca="1" si="458"/>
        <v/>
      </c>
      <c r="AA984" s="316" t="str">
        <f t="shared" ca="1" si="459"/>
        <v/>
      </c>
      <c r="AC984" s="310" t="e">
        <f t="shared" ca="1" si="460"/>
        <v>#N/A</v>
      </c>
      <c r="AD984" s="323" t="e">
        <f t="shared" ca="1" si="461"/>
        <v>#N/A</v>
      </c>
      <c r="AE984" s="324" t="e">
        <f t="shared" ca="1" si="440"/>
        <v>#N/A</v>
      </c>
      <c r="AG984" s="306">
        <f t="shared" ca="1" si="462"/>
        <v>1.3110107662520605</v>
      </c>
      <c r="AH984" s="304">
        <f t="shared" ca="1" si="463"/>
        <v>-8.4885655586574789</v>
      </c>
    </row>
    <row r="985" spans="1:34" x14ac:dyDescent="0.2">
      <c r="A985" s="347">
        <f t="shared" ca="1" si="441"/>
        <v>1E-4</v>
      </c>
      <c r="B985" s="304">
        <f t="shared" ca="1" si="442"/>
        <v>41.420700000000963</v>
      </c>
      <c r="D985" s="306">
        <f t="shared" ca="1" si="443"/>
        <v>-0.39120835065623139</v>
      </c>
      <c r="E985" s="307">
        <f t="shared" ca="1" si="444"/>
        <v>-1.3304259861588967</v>
      </c>
      <c r="F985" s="304">
        <f t="shared" ca="1" si="445"/>
        <v>1.3867506186297671</v>
      </c>
      <c r="G985" s="306">
        <f t="shared" ca="1" si="446"/>
        <v>6.225850608615989</v>
      </c>
      <c r="H985" s="307">
        <f t="shared" ca="1" si="447"/>
        <v>-134.94840977119114</v>
      </c>
      <c r="I985" s="304">
        <f t="shared" ca="1" si="448"/>
        <v>135.09194837433546</v>
      </c>
      <c r="J985" s="306">
        <f t="shared" ca="1" si="449"/>
        <v>568.62651553779426</v>
      </c>
      <c r="K985" s="307">
        <f t="shared" ca="1" si="450"/>
        <v>-5.9604350130809447</v>
      </c>
      <c r="L985" s="304">
        <f t="shared" ca="1" si="435"/>
        <v>568.65775380117566</v>
      </c>
      <c r="M985" s="306">
        <f t="shared" ca="1" si="451"/>
        <v>-1.5246939745654298</v>
      </c>
      <c r="N985" s="304">
        <f t="shared" ca="1" si="452"/>
        <v>-87.358529791626012</v>
      </c>
      <c r="P985" s="310">
        <f t="shared" ca="1" si="453"/>
        <v>23</v>
      </c>
      <c r="Q985" s="304">
        <f t="shared" ca="1" si="454"/>
        <v>0</v>
      </c>
      <c r="R985" s="306">
        <f t="shared" ca="1" si="455"/>
        <v>0</v>
      </c>
      <c r="S985" s="307">
        <f t="shared" ca="1" si="456"/>
        <v>6.1519999999999921</v>
      </c>
      <c r="T985" s="304">
        <f t="shared" ca="1" si="436"/>
        <v>60.351119999999923</v>
      </c>
      <c r="U985" s="311">
        <f t="shared" ca="1" si="437"/>
        <v>0</v>
      </c>
      <c r="V985" s="306">
        <f t="shared" ca="1" si="438"/>
        <v>1.2257303709555329</v>
      </c>
      <c r="W985" s="304">
        <f t="shared" ca="1" si="439"/>
        <v>52.221998976227745</v>
      </c>
      <c r="Y985" s="314" t="str">
        <f t="shared" ca="1" si="457"/>
        <v/>
      </c>
      <c r="Z985" s="315" t="str">
        <f t="shared" ca="1" si="458"/>
        <v/>
      </c>
      <c r="AA985" s="316" t="str">
        <f t="shared" ca="1" si="459"/>
        <v/>
      </c>
      <c r="AC985" s="310" t="e">
        <f t="shared" ca="1" si="460"/>
        <v>#N/A</v>
      </c>
      <c r="AD985" s="323" t="e">
        <f t="shared" ca="1" si="461"/>
        <v>#N/A</v>
      </c>
      <c r="AE985" s="324" t="e">
        <f t="shared" ca="1" si="440"/>
        <v>#N/A</v>
      </c>
      <c r="AG985" s="306">
        <f t="shared" ca="1" si="462"/>
        <v>1.3109829867251364</v>
      </c>
      <c r="AH985" s="304">
        <f t="shared" ca="1" si="463"/>
        <v>-8.4885934894912065</v>
      </c>
    </row>
    <row r="986" spans="1:34" x14ac:dyDescent="0.2">
      <c r="A986" s="347">
        <f t="shared" ca="1" si="441"/>
        <v>1E-4</v>
      </c>
      <c r="B986" s="304">
        <f t="shared" ca="1" si="442"/>
        <v>41.420800000000966</v>
      </c>
      <c r="D986" s="306">
        <f t="shared" ca="1" si="443"/>
        <v>-0.39120680003790964</v>
      </c>
      <c r="E986" s="307">
        <f t="shared" ca="1" si="444"/>
        <v>-1.3303979543402438</v>
      </c>
      <c r="F986" s="304">
        <f t="shared" ca="1" si="445"/>
        <v>1.3867232879376499</v>
      </c>
      <c r="G986" s="306">
        <f t="shared" ca="1" si="446"/>
        <v>6.2258114879359852</v>
      </c>
      <c r="H986" s="307">
        <f t="shared" ca="1" si="447"/>
        <v>-134.94854281098657</v>
      </c>
      <c r="I986" s="304">
        <f t="shared" ca="1" si="448"/>
        <v>135.09207946986376</v>
      </c>
      <c r="J986" s="306">
        <f t="shared" ca="1" si="449"/>
        <v>568.62651553779426</v>
      </c>
      <c r="K986" s="307">
        <f t="shared" ca="1" si="450"/>
        <v>-5.9739298607100535</v>
      </c>
      <c r="L986" s="304">
        <f t="shared" ca="1" si="435"/>
        <v>568.65789540868423</v>
      </c>
      <c r="M986" s="306">
        <f t="shared" ca="1" si="451"/>
        <v>-1.5246943092289313</v>
      </c>
      <c r="N986" s="304">
        <f t="shared" ca="1" si="452"/>
        <v>-87.35854896643221</v>
      </c>
      <c r="P986" s="310">
        <f t="shared" ca="1" si="453"/>
        <v>23</v>
      </c>
      <c r="Q986" s="304">
        <f t="shared" ca="1" si="454"/>
        <v>0</v>
      </c>
      <c r="R986" s="306">
        <f t="shared" ca="1" si="455"/>
        <v>0</v>
      </c>
      <c r="S986" s="307">
        <f t="shared" ca="1" si="456"/>
        <v>6.1519999999999921</v>
      </c>
      <c r="T986" s="304">
        <f t="shared" ca="1" si="436"/>
        <v>60.351119999999923</v>
      </c>
      <c r="U986" s="311">
        <f t="shared" ca="1" si="437"/>
        <v>0</v>
      </c>
      <c r="V986" s="306">
        <f t="shared" ca="1" si="438"/>
        <v>1.2257320250612556</v>
      </c>
      <c r="W986" s="304">
        <f t="shared" ca="1" si="439"/>
        <v>52.222170803494492</v>
      </c>
      <c r="Y986" s="314" t="str">
        <f t="shared" ca="1" si="457"/>
        <v/>
      </c>
      <c r="Z986" s="315" t="str">
        <f t="shared" ca="1" si="458"/>
        <v/>
      </c>
      <c r="AA986" s="316" t="str">
        <f t="shared" ca="1" si="459"/>
        <v/>
      </c>
      <c r="AC986" s="310" t="e">
        <f t="shared" ca="1" si="460"/>
        <v>#N/A</v>
      </c>
      <c r="AD986" s="323" t="e">
        <f t="shared" ca="1" si="461"/>
        <v>#N/A</v>
      </c>
      <c r="AE986" s="324" t="e">
        <f t="shared" ca="1" si="440"/>
        <v>#N/A</v>
      </c>
      <c r="AG986" s="306">
        <f t="shared" ca="1" si="462"/>
        <v>1.3109552074577664</v>
      </c>
      <c r="AH986" s="304">
        <f t="shared" ca="1" si="463"/>
        <v>-8.4886214200630388</v>
      </c>
    </row>
    <row r="987" spans="1:34" x14ac:dyDescent="0.2">
      <c r="A987" s="347">
        <f t="shared" ca="1" si="441"/>
        <v>1E-4</v>
      </c>
      <c r="B987" s="304">
        <f t="shared" ca="1" si="442"/>
        <v>41.420900000000969</v>
      </c>
      <c r="D987" s="306">
        <f t="shared" ca="1" si="443"/>
        <v>-0.39120524941213758</v>
      </c>
      <c r="E987" s="307">
        <f t="shared" ca="1" si="444"/>
        <v>-1.3303699227843708</v>
      </c>
      <c r="F987" s="304">
        <f t="shared" ca="1" si="445"/>
        <v>1.3866959575252629</v>
      </c>
      <c r="G987" s="306">
        <f t="shared" ca="1" si="446"/>
        <v>6.2257723674110439</v>
      </c>
      <c r="H987" s="307">
        <f t="shared" ca="1" si="447"/>
        <v>-134.94867584797885</v>
      </c>
      <c r="I987" s="304">
        <f t="shared" ca="1" si="448"/>
        <v>135.09221056261418</v>
      </c>
      <c r="J987" s="306">
        <f t="shared" ca="1" si="449"/>
        <v>568.62651553779426</v>
      </c>
      <c r="K987" s="307">
        <f t="shared" ca="1" si="450"/>
        <v>-5.9874247216430021</v>
      </c>
      <c r="L987" s="304">
        <f t="shared" ca="1" si="435"/>
        <v>568.65803733654434</v>
      </c>
      <c r="M987" s="306">
        <f t="shared" ca="1" si="451"/>
        <v>-1.5246946438896805</v>
      </c>
      <c r="N987" s="304">
        <f t="shared" ca="1" si="452"/>
        <v>-87.358568141080696</v>
      </c>
      <c r="P987" s="310">
        <f t="shared" ca="1" si="453"/>
        <v>23</v>
      </c>
      <c r="Q987" s="304">
        <f t="shared" ca="1" si="454"/>
        <v>0</v>
      </c>
      <c r="R987" s="306">
        <f t="shared" ca="1" si="455"/>
        <v>0</v>
      </c>
      <c r="S987" s="307">
        <f t="shared" ca="1" si="456"/>
        <v>6.1519999999999921</v>
      </c>
      <c r="T987" s="304">
        <f t="shared" ca="1" si="436"/>
        <v>60.351119999999923</v>
      </c>
      <c r="U987" s="311">
        <f t="shared" ca="1" si="437"/>
        <v>0</v>
      </c>
      <c r="V987" s="306">
        <f t="shared" ca="1" si="438"/>
        <v>1.2257336791708415</v>
      </c>
      <c r="W987" s="304">
        <f t="shared" ca="1" si="439"/>
        <v>52.222342629150084</v>
      </c>
      <c r="Y987" s="314" t="str">
        <f t="shared" ca="1" si="457"/>
        <v/>
      </c>
      <c r="Z987" s="315" t="str">
        <f t="shared" ca="1" si="458"/>
        <v/>
      </c>
      <c r="AA987" s="316" t="str">
        <f t="shared" ca="1" si="459"/>
        <v/>
      </c>
      <c r="AC987" s="310" t="e">
        <f t="shared" ca="1" si="460"/>
        <v>#N/A</v>
      </c>
      <c r="AD987" s="323" t="e">
        <f t="shared" ca="1" si="461"/>
        <v>#N/A</v>
      </c>
      <c r="AE987" s="324" t="e">
        <f t="shared" ca="1" si="440"/>
        <v>#N/A</v>
      </c>
      <c r="AG987" s="306">
        <f t="shared" ca="1" si="462"/>
        <v>1.310927428449947</v>
      </c>
      <c r="AH987" s="304">
        <f t="shared" ca="1" si="463"/>
        <v>-8.4886493503729774</v>
      </c>
    </row>
    <row r="988" spans="1:34" x14ac:dyDescent="0.2">
      <c r="A988" s="347">
        <f t="shared" ca="1" si="441"/>
        <v>1E-4</v>
      </c>
      <c r="B988" s="304">
        <f t="shared" ca="1" si="442"/>
        <v>41.421000000000973</v>
      </c>
      <c r="D988" s="306">
        <f t="shared" ca="1" si="443"/>
        <v>-0.39120369877891775</v>
      </c>
      <c r="E988" s="307">
        <f t="shared" ca="1" si="444"/>
        <v>-1.3303418914912744</v>
      </c>
      <c r="F988" s="304">
        <f t="shared" ca="1" si="445"/>
        <v>1.3866686273926039</v>
      </c>
      <c r="G988" s="306">
        <f t="shared" ca="1" si="446"/>
        <v>6.2257332470411662</v>
      </c>
      <c r="H988" s="307">
        <f t="shared" ca="1" si="447"/>
        <v>-134.94880888216801</v>
      </c>
      <c r="I988" s="304">
        <f t="shared" ca="1" si="448"/>
        <v>135.09234165258673</v>
      </c>
      <c r="J988" s="306">
        <f t="shared" ca="1" si="449"/>
        <v>568.62651553779426</v>
      </c>
      <c r="K988" s="307">
        <f t="shared" ca="1" si="450"/>
        <v>-6.0009195958795098</v>
      </c>
      <c r="L988" s="304">
        <f t="shared" ca="1" si="435"/>
        <v>568.65817958475679</v>
      </c>
      <c r="M988" s="306">
        <f t="shared" ca="1" si="451"/>
        <v>-1.5246949785476771</v>
      </c>
      <c r="N988" s="304">
        <f t="shared" ca="1" si="452"/>
        <v>-87.358587315571484</v>
      </c>
      <c r="P988" s="310">
        <f t="shared" ca="1" si="453"/>
        <v>23</v>
      </c>
      <c r="Q988" s="304">
        <f t="shared" ca="1" si="454"/>
        <v>0</v>
      </c>
      <c r="R988" s="306">
        <f t="shared" ca="1" si="455"/>
        <v>0</v>
      </c>
      <c r="S988" s="307">
        <f t="shared" ca="1" si="456"/>
        <v>6.1519999999999921</v>
      </c>
      <c r="T988" s="304">
        <f t="shared" ca="1" si="436"/>
        <v>60.351119999999923</v>
      </c>
      <c r="U988" s="311">
        <f t="shared" ca="1" si="437"/>
        <v>0</v>
      </c>
      <c r="V988" s="306">
        <f t="shared" ca="1" si="438"/>
        <v>1.2257353332842913</v>
      </c>
      <c r="W988" s="304">
        <f t="shared" ca="1" si="439"/>
        <v>52.222514453194485</v>
      </c>
      <c r="Y988" s="314" t="str">
        <f t="shared" ca="1" si="457"/>
        <v/>
      </c>
      <c r="Z988" s="315" t="str">
        <f t="shared" ca="1" si="458"/>
        <v/>
      </c>
      <c r="AA988" s="316" t="str">
        <f t="shared" ca="1" si="459"/>
        <v/>
      </c>
      <c r="AC988" s="310" t="e">
        <f t="shared" ca="1" si="460"/>
        <v>#N/A</v>
      </c>
      <c r="AD988" s="323" t="e">
        <f t="shared" ca="1" si="461"/>
        <v>#N/A</v>
      </c>
      <c r="AE988" s="324" t="e">
        <f t="shared" ca="1" si="440"/>
        <v>#N/A</v>
      </c>
      <c r="AG988" s="306">
        <f t="shared" ca="1" si="462"/>
        <v>1.3108996497016765</v>
      </c>
      <c r="AH988" s="304">
        <f t="shared" ca="1" si="463"/>
        <v>-8.488677280421026</v>
      </c>
    </row>
    <row r="989" spans="1:34" x14ac:dyDescent="0.2">
      <c r="A989" s="347">
        <f t="shared" ca="1" si="441"/>
        <v>1E-4</v>
      </c>
      <c r="B989" s="304">
        <f t="shared" ca="1" si="442"/>
        <v>41.421100000000976</v>
      </c>
      <c r="D989" s="306">
        <f t="shared" ca="1" si="443"/>
        <v>-0.39120214813825033</v>
      </c>
      <c r="E989" s="307">
        <f t="shared" ca="1" si="444"/>
        <v>-1.3303138604609615</v>
      </c>
      <c r="F989" s="304">
        <f t="shared" ca="1" si="445"/>
        <v>1.3866412975396802</v>
      </c>
      <c r="G989" s="306">
        <f t="shared" ca="1" si="446"/>
        <v>6.2256941268263519</v>
      </c>
      <c r="H989" s="307">
        <f t="shared" ca="1" si="447"/>
        <v>-134.94894191355405</v>
      </c>
      <c r="I989" s="304">
        <f t="shared" ca="1" si="448"/>
        <v>135.09247273978141</v>
      </c>
      <c r="J989" s="306">
        <f t="shared" ca="1" si="449"/>
        <v>568.62651553779426</v>
      </c>
      <c r="K989" s="307">
        <f t="shared" ca="1" si="450"/>
        <v>-6.0144144834192961</v>
      </c>
      <c r="L989" s="304">
        <f t="shared" ca="1" si="435"/>
        <v>568.65832215332227</v>
      </c>
      <c r="M989" s="306">
        <f t="shared" ca="1" si="451"/>
        <v>-1.5246953132029215</v>
      </c>
      <c r="N989" s="304">
        <f t="shared" ca="1" si="452"/>
        <v>-87.358606489904588</v>
      </c>
      <c r="P989" s="310">
        <f t="shared" ca="1" si="453"/>
        <v>23</v>
      </c>
      <c r="Q989" s="304">
        <f t="shared" ca="1" si="454"/>
        <v>0</v>
      </c>
      <c r="R989" s="306">
        <f t="shared" ca="1" si="455"/>
        <v>0</v>
      </c>
      <c r="S989" s="307">
        <f t="shared" ca="1" si="456"/>
        <v>6.1519999999999921</v>
      </c>
      <c r="T989" s="304">
        <f t="shared" ca="1" si="436"/>
        <v>60.351119999999923</v>
      </c>
      <c r="U989" s="311">
        <f t="shared" ca="1" si="437"/>
        <v>0</v>
      </c>
      <c r="V989" s="306">
        <f t="shared" ca="1" si="438"/>
        <v>1.225736987401604</v>
      </c>
      <c r="W989" s="304">
        <f t="shared" ca="1" si="439"/>
        <v>52.222686275627701</v>
      </c>
      <c r="Y989" s="314" t="str">
        <f t="shared" ca="1" si="457"/>
        <v/>
      </c>
      <c r="Z989" s="315" t="str">
        <f t="shared" ca="1" si="458"/>
        <v/>
      </c>
      <c r="AA989" s="316" t="str">
        <f t="shared" ca="1" si="459"/>
        <v/>
      </c>
      <c r="AC989" s="310" t="e">
        <f t="shared" ca="1" si="460"/>
        <v>#N/A</v>
      </c>
      <c r="AD989" s="323" t="e">
        <f t="shared" ca="1" si="461"/>
        <v>#N/A</v>
      </c>
      <c r="AE989" s="324" t="e">
        <f t="shared" ca="1" si="440"/>
        <v>#N/A</v>
      </c>
      <c r="AG989" s="306">
        <f t="shared" ca="1" si="462"/>
        <v>1.3108718712129619</v>
      </c>
      <c r="AH989" s="304">
        <f t="shared" ca="1" si="463"/>
        <v>-8.4887052102071774</v>
      </c>
    </row>
    <row r="990" spans="1:34" x14ac:dyDescent="0.2">
      <c r="A990" s="347">
        <f t="shared" ca="1" si="441"/>
        <v>1E-4</v>
      </c>
      <c r="B990" s="304">
        <f t="shared" ca="1" si="442"/>
        <v>41.421200000000979</v>
      </c>
      <c r="D990" s="306">
        <f t="shared" ca="1" si="443"/>
        <v>-0.39120059749013381</v>
      </c>
      <c r="E990" s="307">
        <f t="shared" ca="1" si="444"/>
        <v>-1.3302858296934321</v>
      </c>
      <c r="F990" s="304">
        <f t="shared" ca="1" si="445"/>
        <v>1.3866139679664924</v>
      </c>
      <c r="G990" s="306">
        <f t="shared" ca="1" si="446"/>
        <v>6.225655006766603</v>
      </c>
      <c r="H990" s="307">
        <f t="shared" ca="1" si="447"/>
        <v>-134.94907494213703</v>
      </c>
      <c r="I990" s="304">
        <f t="shared" ca="1" si="448"/>
        <v>135.09260382419828</v>
      </c>
      <c r="J990" s="306">
        <f t="shared" ca="1" si="449"/>
        <v>568.62651553779426</v>
      </c>
      <c r="K990" s="307">
        <f t="shared" ca="1" si="450"/>
        <v>-6.027909384262081</v>
      </c>
      <c r="L990" s="304">
        <f t="shared" ca="1" si="435"/>
        <v>568.65846504224157</v>
      </c>
      <c r="M990" s="306">
        <f t="shared" ca="1" si="451"/>
        <v>-1.5246956478554134</v>
      </c>
      <c r="N990" s="304">
        <f t="shared" ca="1" si="452"/>
        <v>-87.35862566407998</v>
      </c>
      <c r="P990" s="310">
        <f t="shared" ca="1" si="453"/>
        <v>23</v>
      </c>
      <c r="Q990" s="304">
        <f t="shared" ca="1" si="454"/>
        <v>0</v>
      </c>
      <c r="R990" s="306">
        <f t="shared" ca="1" si="455"/>
        <v>0</v>
      </c>
      <c r="S990" s="307">
        <f t="shared" ca="1" si="456"/>
        <v>6.1519999999999921</v>
      </c>
      <c r="T990" s="304">
        <f t="shared" ca="1" si="436"/>
        <v>60.351119999999923</v>
      </c>
      <c r="U990" s="311">
        <f t="shared" ca="1" si="437"/>
        <v>0</v>
      </c>
      <c r="V990" s="306">
        <f t="shared" ca="1" si="438"/>
        <v>1.2257386415227804</v>
      </c>
      <c r="W990" s="304">
        <f t="shared" ca="1" si="439"/>
        <v>52.222858096449755</v>
      </c>
      <c r="Y990" s="314" t="str">
        <f t="shared" ca="1" si="457"/>
        <v/>
      </c>
      <c r="Z990" s="315" t="str">
        <f t="shared" ca="1" si="458"/>
        <v/>
      </c>
      <c r="AA990" s="316" t="str">
        <f t="shared" ca="1" si="459"/>
        <v/>
      </c>
      <c r="AC990" s="310" t="e">
        <f t="shared" ca="1" si="460"/>
        <v>#N/A</v>
      </c>
      <c r="AD990" s="323" t="e">
        <f t="shared" ca="1" si="461"/>
        <v>#N/A</v>
      </c>
      <c r="AE990" s="324" t="e">
        <f t="shared" ca="1" si="440"/>
        <v>#N/A</v>
      </c>
      <c r="AG990" s="306">
        <f t="shared" ca="1" si="462"/>
        <v>1.3108440929838014</v>
      </c>
      <c r="AH990" s="304">
        <f t="shared" ca="1" si="463"/>
        <v>-8.4887331397314316</v>
      </c>
    </row>
    <row r="991" spans="1:34" x14ac:dyDescent="0.2">
      <c r="A991" s="347">
        <f t="shared" ca="1" si="441"/>
        <v>1E-4</v>
      </c>
      <c r="B991" s="304">
        <f t="shared" ca="1" si="442"/>
        <v>41.421300000000983</v>
      </c>
      <c r="D991" s="306">
        <f t="shared" ca="1" si="443"/>
        <v>-0.39119904683457091</v>
      </c>
      <c r="E991" s="307">
        <f t="shared" ca="1" si="444"/>
        <v>-1.3302577991886828</v>
      </c>
      <c r="F991" s="304">
        <f t="shared" ca="1" si="445"/>
        <v>1.3865866386730383</v>
      </c>
      <c r="G991" s="306">
        <f t="shared" ca="1" si="446"/>
        <v>6.2256158868619194</v>
      </c>
      <c r="H991" s="307">
        <f t="shared" ca="1" si="447"/>
        <v>-134.94920796791695</v>
      </c>
      <c r="I991" s="304">
        <f t="shared" ca="1" si="448"/>
        <v>135.09273490583737</v>
      </c>
      <c r="J991" s="306">
        <f t="shared" ca="1" si="449"/>
        <v>568.62651553779426</v>
      </c>
      <c r="K991" s="307">
        <f t="shared" ca="1" si="450"/>
        <v>-6.041404298407584</v>
      </c>
      <c r="L991" s="304">
        <f t="shared" ca="1" si="435"/>
        <v>568.65860825151515</v>
      </c>
      <c r="M991" s="306">
        <f t="shared" ca="1" si="451"/>
        <v>-1.5246959825051534</v>
      </c>
      <c r="N991" s="304">
        <f t="shared" ca="1" si="452"/>
        <v>-87.358644838097689</v>
      </c>
      <c r="P991" s="310">
        <f t="shared" ca="1" si="453"/>
        <v>23</v>
      </c>
      <c r="Q991" s="304">
        <f t="shared" ca="1" si="454"/>
        <v>0</v>
      </c>
      <c r="R991" s="306">
        <f t="shared" ca="1" si="455"/>
        <v>0</v>
      </c>
      <c r="S991" s="307">
        <f t="shared" ca="1" si="456"/>
        <v>6.1519999999999921</v>
      </c>
      <c r="T991" s="304">
        <f t="shared" ca="1" si="436"/>
        <v>60.351119999999923</v>
      </c>
      <c r="U991" s="311">
        <f t="shared" ca="1" si="437"/>
        <v>0</v>
      </c>
      <c r="V991" s="306">
        <f t="shared" ca="1" si="438"/>
        <v>1.2257402956478205</v>
      </c>
      <c r="W991" s="304">
        <f t="shared" ca="1" si="439"/>
        <v>52.223029915660682</v>
      </c>
      <c r="Y991" s="314" t="str">
        <f t="shared" ca="1" si="457"/>
        <v/>
      </c>
      <c r="Z991" s="315" t="str">
        <f t="shared" ca="1" si="458"/>
        <v/>
      </c>
      <c r="AA991" s="316" t="str">
        <f t="shared" ca="1" si="459"/>
        <v/>
      </c>
      <c r="AC991" s="310" t="e">
        <f t="shared" ca="1" si="460"/>
        <v>#N/A</v>
      </c>
      <c r="AD991" s="323" t="e">
        <f t="shared" ca="1" si="461"/>
        <v>#N/A</v>
      </c>
      <c r="AE991" s="324" t="e">
        <f t="shared" ca="1" si="440"/>
        <v>#N/A</v>
      </c>
      <c r="AG991" s="306">
        <f t="shared" ca="1" si="462"/>
        <v>1.3108163150141916</v>
      </c>
      <c r="AH991" s="304">
        <f t="shared" ca="1" si="463"/>
        <v>-8.488761068993794</v>
      </c>
    </row>
    <row r="992" spans="1:34" x14ac:dyDescent="0.2">
      <c r="A992" s="347">
        <f t="shared" ca="1" si="441"/>
        <v>1E-4</v>
      </c>
      <c r="B992" s="304">
        <f t="shared" ca="1" si="442"/>
        <v>41.421400000000986</v>
      </c>
      <c r="D992" s="306">
        <f t="shared" ca="1" si="443"/>
        <v>-0.39119749617155858</v>
      </c>
      <c r="E992" s="307">
        <f t="shared" ca="1" si="444"/>
        <v>-1.3302297689467046</v>
      </c>
      <c r="F992" s="304">
        <f t="shared" ca="1" si="445"/>
        <v>1.3865593096593092</v>
      </c>
      <c r="G992" s="306">
        <f t="shared" ca="1" si="446"/>
        <v>6.2255767671123019</v>
      </c>
      <c r="H992" s="307">
        <f t="shared" ca="1" si="447"/>
        <v>-134.94934099089383</v>
      </c>
      <c r="I992" s="304">
        <f t="shared" ca="1" si="448"/>
        <v>135.09286598469865</v>
      </c>
      <c r="J992" s="306">
        <f t="shared" ca="1" si="449"/>
        <v>568.62651553779426</v>
      </c>
      <c r="K992" s="307">
        <f t="shared" ca="1" si="450"/>
        <v>-6.0548992258555243</v>
      </c>
      <c r="L992" s="304">
        <f t="shared" ca="1" si="435"/>
        <v>568.65875178114391</v>
      </c>
      <c r="M992" s="306">
        <f t="shared" ca="1" si="451"/>
        <v>-1.5246963171521408</v>
      </c>
      <c r="N992" s="304">
        <f t="shared" ca="1" si="452"/>
        <v>-87.3586640119577</v>
      </c>
      <c r="P992" s="310">
        <f t="shared" ca="1" si="453"/>
        <v>23</v>
      </c>
      <c r="Q992" s="304">
        <f t="shared" ca="1" si="454"/>
        <v>0</v>
      </c>
      <c r="R992" s="306">
        <f t="shared" ca="1" si="455"/>
        <v>0</v>
      </c>
      <c r="S992" s="307">
        <f t="shared" ca="1" si="456"/>
        <v>6.1519999999999921</v>
      </c>
      <c r="T992" s="304">
        <f t="shared" ca="1" si="436"/>
        <v>60.351119999999923</v>
      </c>
      <c r="U992" s="311">
        <f t="shared" ca="1" si="437"/>
        <v>0</v>
      </c>
      <c r="V992" s="306">
        <f t="shared" ca="1" si="438"/>
        <v>1.2257419497767237</v>
      </c>
      <c r="W992" s="304">
        <f t="shared" ca="1" si="439"/>
        <v>52.223201733260403</v>
      </c>
      <c r="Y992" s="314" t="str">
        <f t="shared" ca="1" si="457"/>
        <v/>
      </c>
      <c r="Z992" s="315" t="str">
        <f t="shared" ca="1" si="458"/>
        <v/>
      </c>
      <c r="AA992" s="316" t="str">
        <f t="shared" ca="1" si="459"/>
        <v/>
      </c>
      <c r="AC992" s="310" t="e">
        <f t="shared" ca="1" si="460"/>
        <v>#N/A</v>
      </c>
      <c r="AD992" s="323" t="e">
        <f t="shared" ca="1" si="461"/>
        <v>#N/A</v>
      </c>
      <c r="AE992" s="324" t="e">
        <f t="shared" ca="1" si="440"/>
        <v>#N/A</v>
      </c>
      <c r="AG992" s="306">
        <f t="shared" ca="1" si="462"/>
        <v>1.3107885373041253</v>
      </c>
      <c r="AH992" s="304">
        <f t="shared" ca="1" si="463"/>
        <v>-8.4887889979942699</v>
      </c>
    </row>
    <row r="993" spans="1:34" x14ac:dyDescent="0.2">
      <c r="A993" s="347">
        <f t="shared" ca="1" si="441"/>
        <v>1E-4</v>
      </c>
      <c r="B993" s="304">
        <f t="shared" ca="1" si="442"/>
        <v>41.421500000000989</v>
      </c>
      <c r="D993" s="306">
        <f t="shared" ca="1" si="443"/>
        <v>-0.39119594550110048</v>
      </c>
      <c r="E993" s="307">
        <f t="shared" ca="1" si="444"/>
        <v>-1.3302017389675136</v>
      </c>
      <c r="F993" s="304">
        <f t="shared" ca="1" si="445"/>
        <v>1.3865319809253218</v>
      </c>
      <c r="G993" s="306">
        <f t="shared" ca="1" si="446"/>
        <v>6.2255376475177515</v>
      </c>
      <c r="H993" s="307">
        <f t="shared" ca="1" si="447"/>
        <v>-134.94947401106774</v>
      </c>
      <c r="I993" s="304">
        <f t="shared" ca="1" si="448"/>
        <v>135.09299706078221</v>
      </c>
      <c r="J993" s="306">
        <f t="shared" ca="1" si="449"/>
        <v>568.62651553779426</v>
      </c>
      <c r="K993" s="307">
        <f t="shared" ca="1" si="450"/>
        <v>-6.0683941666056223</v>
      </c>
      <c r="L993" s="304">
        <f t="shared" ca="1" si="435"/>
        <v>568.65889563112842</v>
      </c>
      <c r="M993" s="306">
        <f t="shared" ca="1" si="451"/>
        <v>-1.524696651796376</v>
      </c>
      <c r="N993" s="304">
        <f t="shared" ca="1" si="452"/>
        <v>-87.358683185660013</v>
      </c>
      <c r="P993" s="310">
        <f t="shared" ca="1" si="453"/>
        <v>23</v>
      </c>
      <c r="Q993" s="304">
        <f t="shared" ca="1" si="454"/>
        <v>0</v>
      </c>
      <c r="R993" s="306">
        <f t="shared" ca="1" si="455"/>
        <v>0</v>
      </c>
      <c r="S993" s="307">
        <f t="shared" ca="1" si="456"/>
        <v>6.1519999999999921</v>
      </c>
      <c r="T993" s="304">
        <f t="shared" ca="1" si="436"/>
        <v>60.351119999999923</v>
      </c>
      <c r="U993" s="311">
        <f t="shared" ca="1" si="437"/>
        <v>0</v>
      </c>
      <c r="V993" s="306">
        <f t="shared" ca="1" si="438"/>
        <v>1.2257436039094907</v>
      </c>
      <c r="W993" s="304">
        <f t="shared" ca="1" si="439"/>
        <v>52.223373549249018</v>
      </c>
      <c r="Y993" s="314" t="str">
        <f t="shared" ca="1" si="457"/>
        <v/>
      </c>
      <c r="Z993" s="315" t="str">
        <f t="shared" ca="1" si="458"/>
        <v/>
      </c>
      <c r="AA993" s="316" t="str">
        <f t="shared" ca="1" si="459"/>
        <v/>
      </c>
      <c r="AC993" s="310" t="e">
        <f t="shared" ca="1" si="460"/>
        <v>#N/A</v>
      </c>
      <c r="AD993" s="323" t="e">
        <f t="shared" ca="1" si="461"/>
        <v>#N/A</v>
      </c>
      <c r="AE993" s="324" t="e">
        <f t="shared" ca="1" si="440"/>
        <v>#N/A</v>
      </c>
      <c r="AG993" s="306">
        <f t="shared" ca="1" si="462"/>
        <v>1.3107607598536202</v>
      </c>
      <c r="AH993" s="304">
        <f t="shared" ca="1" si="463"/>
        <v>-8.4888169267328468</v>
      </c>
    </row>
    <row r="994" spans="1:34" x14ac:dyDescent="0.2">
      <c r="A994" s="347">
        <f t="shared" ca="1" si="441"/>
        <v>1E-4</v>
      </c>
      <c r="B994" s="304">
        <f t="shared" ca="1" si="442"/>
        <v>41.421600000000993</v>
      </c>
      <c r="D994" s="306">
        <f t="shared" ca="1" si="443"/>
        <v>-0.39119439482319596</v>
      </c>
      <c r="E994" s="307">
        <f t="shared" ca="1" si="444"/>
        <v>-1.3301737092510937</v>
      </c>
      <c r="F994" s="304">
        <f t="shared" ca="1" si="445"/>
        <v>1.3865046524710618</v>
      </c>
      <c r="G994" s="306">
        <f t="shared" ca="1" si="446"/>
        <v>6.2254985280782691</v>
      </c>
      <c r="H994" s="307">
        <f t="shared" ca="1" si="447"/>
        <v>-134.94960702843866</v>
      </c>
      <c r="I994" s="304">
        <f t="shared" ca="1" si="448"/>
        <v>135.09312813408803</v>
      </c>
      <c r="J994" s="306">
        <f t="shared" ca="1" si="449"/>
        <v>568.62651553779426</v>
      </c>
      <c r="K994" s="307">
        <f t="shared" ca="1" si="450"/>
        <v>-6.081889120657598</v>
      </c>
      <c r="L994" s="304">
        <f t="shared" ca="1" si="435"/>
        <v>568.65903980146959</v>
      </c>
      <c r="M994" s="306">
        <f t="shared" ca="1" si="451"/>
        <v>-1.5246969864378592</v>
      </c>
      <c r="N994" s="304">
        <f t="shared" ca="1" si="452"/>
        <v>-87.358702359204656</v>
      </c>
      <c r="P994" s="310">
        <f t="shared" ca="1" si="453"/>
        <v>23</v>
      </c>
      <c r="Q994" s="304">
        <f t="shared" ca="1" si="454"/>
        <v>0</v>
      </c>
      <c r="R994" s="306">
        <f t="shared" ca="1" si="455"/>
        <v>0</v>
      </c>
      <c r="S994" s="307">
        <f t="shared" ca="1" si="456"/>
        <v>6.1519999999999921</v>
      </c>
      <c r="T994" s="304">
        <f t="shared" ca="1" si="436"/>
        <v>60.351119999999923</v>
      </c>
      <c r="U994" s="311">
        <f t="shared" ca="1" si="437"/>
        <v>0</v>
      </c>
      <c r="V994" s="306">
        <f t="shared" ca="1" si="438"/>
        <v>1.225745258046121</v>
      </c>
      <c r="W994" s="304">
        <f t="shared" ca="1" si="439"/>
        <v>52.223545363626471</v>
      </c>
      <c r="Y994" s="314" t="str">
        <f t="shared" ca="1" si="457"/>
        <v/>
      </c>
      <c r="Z994" s="315" t="str">
        <f t="shared" ca="1" si="458"/>
        <v/>
      </c>
      <c r="AA994" s="316" t="str">
        <f t="shared" ca="1" si="459"/>
        <v/>
      </c>
      <c r="AC994" s="310" t="e">
        <f t="shared" ca="1" si="460"/>
        <v>#N/A</v>
      </c>
      <c r="AD994" s="323" t="e">
        <f t="shared" ca="1" si="461"/>
        <v>#N/A</v>
      </c>
      <c r="AE994" s="324" t="e">
        <f t="shared" ca="1" si="440"/>
        <v>#N/A</v>
      </c>
      <c r="AG994" s="306">
        <f t="shared" ca="1" si="462"/>
        <v>1.3107329826626533</v>
      </c>
      <c r="AH994" s="304">
        <f t="shared" ca="1" si="463"/>
        <v>-8.488844855209539</v>
      </c>
    </row>
    <row r="995" spans="1:34" x14ac:dyDescent="0.2">
      <c r="A995" s="347">
        <f t="shared" ca="1" si="441"/>
        <v>1E-4</v>
      </c>
      <c r="B995" s="304">
        <f t="shared" ca="1" si="442"/>
        <v>41.421700000000996</v>
      </c>
      <c r="D995" s="306">
        <f t="shared" ca="1" si="443"/>
        <v>-0.39119284413784322</v>
      </c>
      <c r="E995" s="307">
        <f t="shared" ca="1" si="444"/>
        <v>-1.330145679797452</v>
      </c>
      <c r="F995" s="304">
        <f t="shared" ca="1" si="445"/>
        <v>1.3864773242965356</v>
      </c>
      <c r="G995" s="306">
        <f t="shared" ca="1" si="446"/>
        <v>6.2254594087938555</v>
      </c>
      <c r="H995" s="307">
        <f t="shared" ca="1" si="447"/>
        <v>-134.94974004300664</v>
      </c>
      <c r="I995" s="304">
        <f t="shared" ca="1" si="448"/>
        <v>135.09325920461615</v>
      </c>
      <c r="J995" s="306">
        <f t="shared" ca="1" si="449"/>
        <v>568.62651553779426</v>
      </c>
      <c r="K995" s="307">
        <f t="shared" ca="1" si="450"/>
        <v>-6.09538408801117</v>
      </c>
      <c r="L995" s="304">
        <f t="shared" ca="1" si="435"/>
        <v>568.65918429216788</v>
      </c>
      <c r="M995" s="306">
        <f t="shared" ca="1" si="451"/>
        <v>-1.5246973210765904</v>
      </c>
      <c r="N995" s="304">
        <f t="shared" ca="1" si="452"/>
        <v>-87.358721532591602</v>
      </c>
      <c r="P995" s="310">
        <f t="shared" ca="1" si="453"/>
        <v>23</v>
      </c>
      <c r="Q995" s="304">
        <f t="shared" ca="1" si="454"/>
        <v>0</v>
      </c>
      <c r="R995" s="306">
        <f t="shared" ca="1" si="455"/>
        <v>0</v>
      </c>
      <c r="S995" s="307">
        <f t="shared" ca="1" si="456"/>
        <v>6.1519999999999921</v>
      </c>
      <c r="T995" s="304">
        <f t="shared" ca="1" si="436"/>
        <v>60.351119999999923</v>
      </c>
      <c r="U995" s="311">
        <f t="shared" ca="1" si="437"/>
        <v>0</v>
      </c>
      <c r="V995" s="306">
        <f t="shared" ca="1" si="438"/>
        <v>1.2257469121866142</v>
      </c>
      <c r="W995" s="304">
        <f t="shared" ca="1" si="439"/>
        <v>52.223717176392753</v>
      </c>
      <c r="Y995" s="314" t="str">
        <f t="shared" ca="1" si="457"/>
        <v/>
      </c>
      <c r="Z995" s="315" t="str">
        <f t="shared" ca="1" si="458"/>
        <v/>
      </c>
      <c r="AA995" s="316" t="str">
        <f t="shared" ca="1" si="459"/>
        <v/>
      </c>
      <c r="AC995" s="310" t="e">
        <f t="shared" ca="1" si="460"/>
        <v>#N/A</v>
      </c>
      <c r="AD995" s="323" t="e">
        <f t="shared" ca="1" si="461"/>
        <v>#N/A</v>
      </c>
      <c r="AE995" s="324" t="e">
        <f t="shared" ca="1" si="440"/>
        <v>#N/A</v>
      </c>
      <c r="AG995" s="306">
        <f t="shared" ca="1" si="462"/>
        <v>1.3107052057312387</v>
      </c>
      <c r="AH995" s="304">
        <f t="shared" ca="1" si="463"/>
        <v>-8.4888727834243394</v>
      </c>
    </row>
    <row r="996" spans="1:34" x14ac:dyDescent="0.2">
      <c r="A996" s="347">
        <f t="shared" ca="1" si="441"/>
        <v>1E-4</v>
      </c>
      <c r="B996" s="304">
        <f t="shared" ca="1" si="442"/>
        <v>41.421800000000999</v>
      </c>
      <c r="D996" s="306">
        <f t="shared" ca="1" si="443"/>
        <v>-0.39119129344504272</v>
      </c>
      <c r="E996" s="307">
        <f t="shared" ca="1" si="444"/>
        <v>-1.3301176506065886</v>
      </c>
      <c r="F996" s="304">
        <f t="shared" ca="1" si="445"/>
        <v>1.3864499964017443</v>
      </c>
      <c r="G996" s="306">
        <f t="shared" ca="1" si="446"/>
        <v>6.2254202896645108</v>
      </c>
      <c r="H996" s="307">
        <f t="shared" ca="1" si="447"/>
        <v>-134.9498730547717</v>
      </c>
      <c r="I996" s="304">
        <f t="shared" ca="1" si="448"/>
        <v>135.09339027236663</v>
      </c>
      <c r="J996" s="306">
        <f t="shared" ca="1" si="449"/>
        <v>568.62651553779426</v>
      </c>
      <c r="K996" s="307">
        <f t="shared" ca="1" si="450"/>
        <v>-6.1088790686660586</v>
      </c>
      <c r="L996" s="304">
        <f t="shared" ca="1" si="435"/>
        <v>568.65932910322408</v>
      </c>
      <c r="M996" s="306">
        <f t="shared" ca="1" si="451"/>
        <v>-1.5246976557125691</v>
      </c>
      <c r="N996" s="304">
        <f t="shared" ca="1" si="452"/>
        <v>-87.358740705820864</v>
      </c>
      <c r="P996" s="310">
        <f t="shared" ca="1" si="453"/>
        <v>23</v>
      </c>
      <c r="Q996" s="304">
        <f t="shared" ca="1" si="454"/>
        <v>0</v>
      </c>
      <c r="R996" s="306">
        <f t="shared" ca="1" si="455"/>
        <v>0</v>
      </c>
      <c r="S996" s="307">
        <f t="shared" ca="1" si="456"/>
        <v>6.1519999999999921</v>
      </c>
      <c r="T996" s="304">
        <f t="shared" ca="1" si="436"/>
        <v>60.351119999999923</v>
      </c>
      <c r="U996" s="311">
        <f t="shared" ca="1" si="437"/>
        <v>0</v>
      </c>
      <c r="V996" s="306">
        <f t="shared" ca="1" si="438"/>
        <v>1.2257485663309713</v>
      </c>
      <c r="W996" s="304">
        <f t="shared" ca="1" si="439"/>
        <v>52.223888987547973</v>
      </c>
      <c r="Y996" s="314" t="str">
        <f t="shared" ca="1" si="457"/>
        <v/>
      </c>
      <c r="Z996" s="315" t="str">
        <f t="shared" ca="1" si="458"/>
        <v/>
      </c>
      <c r="AA996" s="316" t="str">
        <f t="shared" ca="1" si="459"/>
        <v/>
      </c>
      <c r="AC996" s="310" t="e">
        <f t="shared" ca="1" si="460"/>
        <v>#N/A</v>
      </c>
      <c r="AD996" s="323" t="e">
        <f t="shared" ca="1" si="461"/>
        <v>#N/A</v>
      </c>
      <c r="AE996" s="324" t="e">
        <f t="shared" ca="1" si="440"/>
        <v>#N/A</v>
      </c>
      <c r="AG996" s="306">
        <f t="shared" ca="1" si="462"/>
        <v>1.3106774290593766</v>
      </c>
      <c r="AH996" s="304">
        <f t="shared" ca="1" si="463"/>
        <v>-8.4889007113772461</v>
      </c>
    </row>
    <row r="997" spans="1:34" x14ac:dyDescent="0.2">
      <c r="A997" s="347">
        <f t="shared" ca="1" si="441"/>
        <v>1E-4</v>
      </c>
      <c r="B997" s="304">
        <f t="shared" ca="1" si="442"/>
        <v>41.421900000001003</v>
      </c>
      <c r="D997" s="306">
        <f t="shared" ca="1" si="443"/>
        <v>-0.39118974274479962</v>
      </c>
      <c r="E997" s="307">
        <f t="shared" ca="1" si="444"/>
        <v>-1.330089621678491</v>
      </c>
      <c r="F997" s="304">
        <f t="shared" ca="1" si="445"/>
        <v>1.3864226687866776</v>
      </c>
      <c r="G997" s="306">
        <f t="shared" ca="1" si="446"/>
        <v>6.2253811706902367</v>
      </c>
      <c r="H997" s="307">
        <f t="shared" ca="1" si="447"/>
        <v>-134.95000606373387</v>
      </c>
      <c r="I997" s="304">
        <f t="shared" ca="1" si="448"/>
        <v>135.09352133733947</v>
      </c>
      <c r="J997" s="306">
        <f t="shared" ca="1" si="449"/>
        <v>568.62651553779426</v>
      </c>
      <c r="K997" s="307">
        <f t="shared" ca="1" si="450"/>
        <v>-6.1223740626219838</v>
      </c>
      <c r="L997" s="304">
        <f t="shared" ca="1" si="435"/>
        <v>568.65947423463899</v>
      </c>
      <c r="M997" s="306">
        <f t="shared" ca="1" si="451"/>
        <v>-1.524697990345796</v>
      </c>
      <c r="N997" s="304">
        <f t="shared" ca="1" si="452"/>
        <v>-87.358759878892442</v>
      </c>
      <c r="P997" s="310">
        <f t="shared" ca="1" si="453"/>
        <v>23</v>
      </c>
      <c r="Q997" s="304">
        <f t="shared" ca="1" si="454"/>
        <v>0</v>
      </c>
      <c r="R997" s="306">
        <f t="shared" ca="1" si="455"/>
        <v>0</v>
      </c>
      <c r="S997" s="307">
        <f t="shared" ca="1" si="456"/>
        <v>6.1519999999999921</v>
      </c>
      <c r="T997" s="304">
        <f t="shared" ca="1" si="436"/>
        <v>60.351119999999923</v>
      </c>
      <c r="U997" s="311">
        <f t="shared" ca="1" si="437"/>
        <v>0</v>
      </c>
      <c r="V997" s="306">
        <f t="shared" ca="1" si="438"/>
        <v>1.2257502204791915</v>
      </c>
      <c r="W997" s="304">
        <f t="shared" ca="1" si="439"/>
        <v>52.224060797092022</v>
      </c>
      <c r="Y997" s="314" t="str">
        <f t="shared" ca="1" si="457"/>
        <v/>
      </c>
      <c r="Z997" s="315" t="str">
        <f t="shared" ca="1" si="458"/>
        <v/>
      </c>
      <c r="AA997" s="316" t="str">
        <f t="shared" ca="1" si="459"/>
        <v/>
      </c>
      <c r="AC997" s="310" t="e">
        <f t="shared" ca="1" si="460"/>
        <v>#N/A</v>
      </c>
      <c r="AD997" s="323" t="e">
        <f t="shared" ca="1" si="461"/>
        <v>#N/A</v>
      </c>
      <c r="AE997" s="324" t="e">
        <f t="shared" ca="1" si="440"/>
        <v>#N/A</v>
      </c>
      <c r="AG997" s="306">
        <f t="shared" ca="1" si="462"/>
        <v>1.310649652647049</v>
      </c>
      <c r="AH997" s="304">
        <f t="shared" ca="1" si="463"/>
        <v>-8.488928639068277</v>
      </c>
    </row>
    <row r="998" spans="1:34" x14ac:dyDescent="0.2">
      <c r="A998" s="347">
        <f t="shared" ca="1" si="441"/>
        <v>1E-4</v>
      </c>
      <c r="B998" s="304">
        <f t="shared" ca="1" si="442"/>
        <v>41.422000000001006</v>
      </c>
      <c r="D998" s="306">
        <f t="shared" ca="1" si="443"/>
        <v>-0.3911881920371077</v>
      </c>
      <c r="E998" s="307">
        <f t="shared" ca="1" si="444"/>
        <v>-1.3300615930131734</v>
      </c>
      <c r="F998" s="304">
        <f t="shared" ca="1" si="445"/>
        <v>1.3863953414513486</v>
      </c>
      <c r="G998" s="306">
        <f t="shared" ca="1" si="446"/>
        <v>6.2253420518710332</v>
      </c>
      <c r="H998" s="307">
        <f t="shared" ca="1" si="447"/>
        <v>-134.95013906989317</v>
      </c>
      <c r="I998" s="304">
        <f t="shared" ca="1" si="448"/>
        <v>135.09365239953468</v>
      </c>
      <c r="J998" s="306">
        <f t="shared" ca="1" si="449"/>
        <v>568.62651553779426</v>
      </c>
      <c r="K998" s="307">
        <f t="shared" ca="1" si="450"/>
        <v>-6.1358690698786651</v>
      </c>
      <c r="L998" s="304">
        <f t="shared" ca="1" si="435"/>
        <v>568.65961968641318</v>
      </c>
      <c r="M998" s="306">
        <f t="shared" ca="1" si="451"/>
        <v>-1.5246983249762709</v>
      </c>
      <c r="N998" s="304">
        <f t="shared" ca="1" si="452"/>
        <v>-87.358779051806351</v>
      </c>
      <c r="P998" s="310">
        <f t="shared" ca="1" si="453"/>
        <v>23</v>
      </c>
      <c r="Q998" s="304">
        <f t="shared" ca="1" si="454"/>
        <v>0</v>
      </c>
      <c r="R998" s="306">
        <f t="shared" ca="1" si="455"/>
        <v>0</v>
      </c>
      <c r="S998" s="307">
        <f t="shared" ca="1" si="456"/>
        <v>6.1519999999999921</v>
      </c>
      <c r="T998" s="304">
        <f t="shared" ca="1" si="436"/>
        <v>60.351119999999923</v>
      </c>
      <c r="U998" s="311">
        <f t="shared" ca="1" si="437"/>
        <v>0</v>
      </c>
      <c r="V998" s="306">
        <f t="shared" ca="1" si="438"/>
        <v>1.225751874631275</v>
      </c>
      <c r="W998" s="304">
        <f t="shared" ca="1" si="439"/>
        <v>52.224232605024966</v>
      </c>
      <c r="Y998" s="314" t="str">
        <f t="shared" ca="1" si="457"/>
        <v/>
      </c>
      <c r="Z998" s="315" t="str">
        <f t="shared" ca="1" si="458"/>
        <v/>
      </c>
      <c r="AA998" s="316" t="str">
        <f t="shared" ca="1" si="459"/>
        <v/>
      </c>
      <c r="AC998" s="310" t="e">
        <f t="shared" ca="1" si="460"/>
        <v>#N/A</v>
      </c>
      <c r="AD998" s="323" t="e">
        <f t="shared" ca="1" si="461"/>
        <v>#N/A</v>
      </c>
      <c r="AE998" s="324" t="e">
        <f t="shared" ca="1" si="440"/>
        <v>#N/A</v>
      </c>
      <c r="AG998" s="306">
        <f t="shared" ca="1" si="462"/>
        <v>1.3106218764942721</v>
      </c>
      <c r="AH998" s="304">
        <f t="shared" ca="1" si="463"/>
        <v>-8.4889565664974143</v>
      </c>
    </row>
    <row r="999" spans="1:34" x14ac:dyDescent="0.2">
      <c r="A999" s="347">
        <f t="shared" ca="1" si="441"/>
        <v>1E-4</v>
      </c>
      <c r="B999" s="304">
        <f t="shared" ca="1" si="442"/>
        <v>41.422100000001009</v>
      </c>
      <c r="D999" s="306">
        <f t="shared" ca="1" si="443"/>
        <v>-0.39118664132196995</v>
      </c>
      <c r="E999" s="307">
        <f t="shared" ca="1" si="444"/>
        <v>-1.3300335646106252</v>
      </c>
      <c r="F999" s="304">
        <f t="shared" ca="1" si="445"/>
        <v>1.3863680143957482</v>
      </c>
      <c r="G999" s="306">
        <f t="shared" ca="1" si="446"/>
        <v>6.2253029332069012</v>
      </c>
      <c r="H999" s="307">
        <f t="shared" ca="1" si="447"/>
        <v>-134.95027207324964</v>
      </c>
      <c r="I999" s="304">
        <f t="shared" ca="1" si="448"/>
        <v>135.09378345895232</v>
      </c>
      <c r="J999" s="306">
        <f t="shared" ca="1" si="449"/>
        <v>568.62651553779426</v>
      </c>
      <c r="K999" s="307">
        <f t="shared" ca="1" si="450"/>
        <v>-6.1493640904358227</v>
      </c>
      <c r="L999" s="304">
        <f t="shared" ca="1" si="435"/>
        <v>568.65976545854733</v>
      </c>
      <c r="M999" s="306">
        <f t="shared" ca="1" si="451"/>
        <v>-1.5246986596039935</v>
      </c>
      <c r="N999" s="304">
        <f t="shared" ca="1" si="452"/>
        <v>-87.358798224562577</v>
      </c>
      <c r="P999" s="310">
        <f t="shared" ca="1" si="453"/>
        <v>23</v>
      </c>
      <c r="Q999" s="304">
        <f t="shared" ca="1" si="454"/>
        <v>0</v>
      </c>
      <c r="R999" s="306">
        <f t="shared" ca="1" si="455"/>
        <v>0</v>
      </c>
      <c r="S999" s="307">
        <f t="shared" ca="1" si="456"/>
        <v>6.1519999999999921</v>
      </c>
      <c r="T999" s="304">
        <f t="shared" ca="1" si="436"/>
        <v>60.351119999999923</v>
      </c>
      <c r="U999" s="311">
        <f t="shared" ca="1" si="437"/>
        <v>0</v>
      </c>
      <c r="V999" s="306">
        <f t="shared" ca="1" si="438"/>
        <v>1.2257535287872219</v>
      </c>
      <c r="W999" s="304">
        <f t="shared" ca="1" si="439"/>
        <v>52.224404411346811</v>
      </c>
      <c r="Y999" s="314" t="str">
        <f t="shared" ca="1" si="457"/>
        <v/>
      </c>
      <c r="Z999" s="315" t="str">
        <f t="shared" ca="1" si="458"/>
        <v/>
      </c>
      <c r="AA999" s="316" t="str">
        <f t="shared" ca="1" si="459"/>
        <v/>
      </c>
      <c r="AC999" s="310" t="e">
        <f t="shared" ca="1" si="460"/>
        <v>#N/A</v>
      </c>
      <c r="AD999" s="323" t="e">
        <f t="shared" ca="1" si="461"/>
        <v>#N/A</v>
      </c>
      <c r="AE999" s="324" t="e">
        <f t="shared" ca="1" si="440"/>
        <v>#N/A</v>
      </c>
      <c r="AG999" s="306">
        <f t="shared" ca="1" si="462"/>
        <v>1.3105941006010386</v>
      </c>
      <c r="AH999" s="304">
        <f t="shared" ca="1" si="463"/>
        <v>-8.4889844936646668</v>
      </c>
    </row>
    <row r="1000" spans="1:34" x14ac:dyDescent="0.2">
      <c r="A1000" s="347">
        <f t="shared" ca="1" si="441"/>
        <v>1E-4</v>
      </c>
      <c r="B1000" s="304">
        <f t="shared" ca="1" si="442"/>
        <v>41.422200000001013</v>
      </c>
      <c r="D1000" s="306">
        <f t="shared" ca="1" si="443"/>
        <v>-0.39118509059938888</v>
      </c>
      <c r="E1000" s="307">
        <f t="shared" ca="1" si="444"/>
        <v>-1.3300055364708445</v>
      </c>
      <c r="F1000" s="304">
        <f t="shared" ca="1" si="445"/>
        <v>1.3863406876198761</v>
      </c>
      <c r="G1000" s="306">
        <f t="shared" ca="1" si="446"/>
        <v>6.2252638146978416</v>
      </c>
      <c r="H1000" s="307">
        <f t="shared" ca="1" si="447"/>
        <v>-134.9504050738033</v>
      </c>
      <c r="I1000" s="304">
        <f t="shared" ca="1" si="448"/>
        <v>135.09391451559239</v>
      </c>
      <c r="J1000" s="306">
        <f t="shared" ca="1" si="449"/>
        <v>568.62651553779426</v>
      </c>
      <c r="K1000" s="307">
        <f t="shared" ca="1" si="450"/>
        <v>-6.162859124293175</v>
      </c>
      <c r="L1000" s="304">
        <f t="shared" ca="1" si="435"/>
        <v>568.65991155104234</v>
      </c>
      <c r="M1000" s="306">
        <f t="shared" ca="1" si="451"/>
        <v>-1.5246989942289644</v>
      </c>
      <c r="N1000" s="304">
        <f t="shared" ca="1" si="452"/>
        <v>-87.358817397161118</v>
      </c>
      <c r="P1000" s="310">
        <f t="shared" ca="1" si="453"/>
        <v>23</v>
      </c>
      <c r="Q1000" s="304">
        <f t="shared" ca="1" si="454"/>
        <v>0</v>
      </c>
      <c r="R1000" s="306">
        <f t="shared" ca="1" si="455"/>
        <v>0</v>
      </c>
      <c r="S1000" s="307">
        <f t="shared" ca="1" si="456"/>
        <v>6.1519999999999921</v>
      </c>
      <c r="T1000" s="304">
        <f t="shared" ca="1" si="436"/>
        <v>60.351119999999923</v>
      </c>
      <c r="U1000" s="311">
        <f t="shared" ca="1" si="437"/>
        <v>0</v>
      </c>
      <c r="V1000" s="306">
        <f t="shared" ca="1" si="438"/>
        <v>1.2257551829470317</v>
      </c>
      <c r="W1000" s="304">
        <f t="shared" ca="1" si="439"/>
        <v>52.224576216057521</v>
      </c>
      <c r="Y1000" s="314" t="str">
        <f t="shared" ca="1" si="457"/>
        <v/>
      </c>
      <c r="Z1000" s="315" t="str">
        <f t="shared" ca="1" si="458"/>
        <v/>
      </c>
      <c r="AA1000" s="316" t="str">
        <f t="shared" ca="1" si="459"/>
        <v/>
      </c>
      <c r="AC1000" s="310" t="e">
        <f t="shared" ca="1" si="460"/>
        <v>#N/A</v>
      </c>
      <c r="AD1000" s="323" t="e">
        <f t="shared" ca="1" si="461"/>
        <v>#N/A</v>
      </c>
      <c r="AE1000" s="324" t="e">
        <f t="shared" ca="1" si="440"/>
        <v>#N/A</v>
      </c>
      <c r="AG1000" s="306">
        <f t="shared" ca="1" si="462"/>
        <v>1.3105663249673469</v>
      </c>
      <c r="AH1000" s="304">
        <f t="shared" ca="1" si="463"/>
        <v>-8.4890124205700381</v>
      </c>
    </row>
    <row r="1001" spans="1:34" x14ac:dyDescent="0.2">
      <c r="A1001" s="347">
        <f t="shared" ca="1" si="441"/>
        <v>1E-4</v>
      </c>
      <c r="B1001" s="304">
        <f t="shared" ca="1" si="442"/>
        <v>41.422300000001016</v>
      </c>
      <c r="D1001" s="306">
        <f t="shared" ca="1" si="443"/>
        <v>-0.39118353986936089</v>
      </c>
      <c r="E1001" s="307">
        <f t="shared" ca="1" si="444"/>
        <v>-1.3299775085938403</v>
      </c>
      <c r="F1001" s="304">
        <f t="shared" ca="1" si="445"/>
        <v>1.3863133611237406</v>
      </c>
      <c r="G1001" s="306">
        <f t="shared" ca="1" si="446"/>
        <v>6.2252246963438544</v>
      </c>
      <c r="H1001" s="307">
        <f t="shared" ca="1" si="447"/>
        <v>-134.95053807155415</v>
      </c>
      <c r="I1001" s="304">
        <f t="shared" ca="1" si="448"/>
        <v>135.09404556945489</v>
      </c>
      <c r="J1001" s="306">
        <f t="shared" ca="1" si="449"/>
        <v>568.62651553779426</v>
      </c>
      <c r="K1001" s="307">
        <f t="shared" ca="1" si="450"/>
        <v>-6.1763541714504431</v>
      </c>
      <c r="L1001" s="304">
        <f t="shared" ca="1" si="435"/>
        <v>568.66005796389868</v>
      </c>
      <c r="M1001" s="306">
        <f t="shared" ca="1" si="451"/>
        <v>-1.5246993288511832</v>
      </c>
      <c r="N1001" s="304">
        <f t="shared" ca="1" si="452"/>
        <v>-87.358836569601991</v>
      </c>
      <c r="P1001" s="310">
        <f t="shared" ca="1" si="453"/>
        <v>23</v>
      </c>
      <c r="Q1001" s="304">
        <f t="shared" ca="1" si="454"/>
        <v>0</v>
      </c>
      <c r="R1001" s="306">
        <f t="shared" ca="1" si="455"/>
        <v>0</v>
      </c>
      <c r="S1001" s="307">
        <f t="shared" ca="1" si="456"/>
        <v>6.1519999999999921</v>
      </c>
      <c r="T1001" s="304">
        <f t="shared" ca="1" si="436"/>
        <v>60.351119999999923</v>
      </c>
      <c r="U1001" s="311">
        <f t="shared" ca="1" si="437"/>
        <v>0</v>
      </c>
      <c r="V1001" s="306">
        <f t="shared" ca="1" si="438"/>
        <v>1.225756837110705</v>
      </c>
      <c r="W1001" s="304">
        <f t="shared" ca="1" si="439"/>
        <v>52.224748019157133</v>
      </c>
      <c r="Y1001" s="314" t="str">
        <f t="shared" ca="1" si="457"/>
        <v/>
      </c>
      <c r="Z1001" s="315" t="str">
        <f t="shared" ca="1" si="458"/>
        <v/>
      </c>
      <c r="AA1001" s="316" t="str">
        <f t="shared" ca="1" si="459"/>
        <v/>
      </c>
      <c r="AC1001" s="310" t="e">
        <f t="shared" ca="1" si="460"/>
        <v>#N/A</v>
      </c>
      <c r="AD1001" s="323" t="e">
        <f t="shared" ca="1" si="461"/>
        <v>#N/A</v>
      </c>
      <c r="AE1001" s="324" t="e">
        <f t="shared" ca="1" si="440"/>
        <v>#N/A</v>
      </c>
      <c r="AG1001" s="306">
        <f t="shared" ca="1" si="462"/>
        <v>1.3105385495932005</v>
      </c>
      <c r="AH1001" s="304">
        <f t="shared" ca="1" si="463"/>
        <v>-8.4890403472135212</v>
      </c>
    </row>
    <row r="1002" spans="1:34" x14ac:dyDescent="0.2">
      <c r="A1002" s="347">
        <f t="shared" ca="1" si="441"/>
        <v>1E-4</v>
      </c>
      <c r="B1002" s="304">
        <f t="shared" ca="1" si="442"/>
        <v>41.422400000001019</v>
      </c>
      <c r="D1002" s="306">
        <f t="shared" ca="1" si="443"/>
        <v>-0.39118198913188856</v>
      </c>
      <c r="E1002" s="307">
        <f t="shared" ca="1" si="444"/>
        <v>-1.3299494809796037</v>
      </c>
      <c r="F1002" s="304">
        <f t="shared" ca="1" si="445"/>
        <v>1.386286034907334</v>
      </c>
      <c r="G1002" s="306">
        <f t="shared" ca="1" si="446"/>
        <v>6.2251855781449414</v>
      </c>
      <c r="H1002" s="307">
        <f t="shared" ca="1" si="447"/>
        <v>-134.95067106650225</v>
      </c>
      <c r="I1002" s="304">
        <f t="shared" ca="1" si="448"/>
        <v>135.09417662053991</v>
      </c>
      <c r="J1002" s="306">
        <f t="shared" ca="1" si="449"/>
        <v>568.62651553779426</v>
      </c>
      <c r="K1002" s="307">
        <f t="shared" ca="1" si="450"/>
        <v>-6.1898492319073455</v>
      </c>
      <c r="L1002" s="304">
        <f t="shared" ca="1" si="435"/>
        <v>568.66020469711702</v>
      </c>
      <c r="M1002" s="306">
        <f t="shared" ca="1" si="451"/>
        <v>-1.52469966347065</v>
      </c>
      <c r="N1002" s="304">
        <f t="shared" ca="1" si="452"/>
        <v>-87.358855741885179</v>
      </c>
      <c r="P1002" s="310">
        <f t="shared" ca="1" si="453"/>
        <v>23</v>
      </c>
      <c r="Q1002" s="304">
        <f t="shared" ca="1" si="454"/>
        <v>0</v>
      </c>
      <c r="R1002" s="306">
        <f t="shared" ca="1" si="455"/>
        <v>0</v>
      </c>
      <c r="S1002" s="307">
        <f t="shared" ca="1" si="456"/>
        <v>6.1519999999999921</v>
      </c>
      <c r="T1002" s="304">
        <f t="shared" ca="1" si="436"/>
        <v>60.351119999999923</v>
      </c>
      <c r="U1002" s="311">
        <f t="shared" ca="1" si="437"/>
        <v>0</v>
      </c>
      <c r="V1002" s="306">
        <f t="shared" ca="1" si="438"/>
        <v>1.2257584912782418</v>
      </c>
      <c r="W1002" s="304">
        <f t="shared" ca="1" si="439"/>
        <v>52.224919820645653</v>
      </c>
      <c r="Y1002" s="314" t="str">
        <f t="shared" ca="1" si="457"/>
        <v/>
      </c>
      <c r="Z1002" s="315" t="str">
        <f t="shared" ca="1" si="458"/>
        <v/>
      </c>
      <c r="AA1002" s="316" t="str">
        <f t="shared" ca="1" si="459"/>
        <v/>
      </c>
      <c r="AC1002" s="310" t="e">
        <f t="shared" ca="1" si="460"/>
        <v>#N/A</v>
      </c>
      <c r="AD1002" s="323" t="e">
        <f t="shared" ca="1" si="461"/>
        <v>#N/A</v>
      </c>
      <c r="AE1002" s="324" t="e">
        <f t="shared" ca="1" si="440"/>
        <v>#N/A</v>
      </c>
      <c r="AG1002" s="306">
        <f t="shared" ca="1" si="462"/>
        <v>1.3105107744785958</v>
      </c>
      <c r="AH1002" s="304">
        <f t="shared" ca="1" si="463"/>
        <v>-8.4890682735951231</v>
      </c>
    </row>
    <row r="1003" spans="1:34" x14ac:dyDescent="0.2">
      <c r="A1003" s="347">
        <f t="shared" ca="1" si="441"/>
        <v>1E-4</v>
      </c>
      <c r="B1003" s="304">
        <f t="shared" ca="1" si="442"/>
        <v>41.422500000001023</v>
      </c>
      <c r="D1003" s="306">
        <f t="shared" ca="1" si="443"/>
        <v>-0.39118043838697253</v>
      </c>
      <c r="E1003" s="307">
        <f t="shared" ca="1" si="444"/>
        <v>-1.3299214536281347</v>
      </c>
      <c r="F1003" s="304">
        <f t="shared" ca="1" si="445"/>
        <v>1.3862587089706577</v>
      </c>
      <c r="G1003" s="306">
        <f t="shared" ca="1" si="446"/>
        <v>6.2251464601011026</v>
      </c>
      <c r="H1003" s="307">
        <f t="shared" ca="1" si="447"/>
        <v>-134.95080405864761</v>
      </c>
      <c r="I1003" s="304">
        <f t="shared" ca="1" si="448"/>
        <v>135.09430766884742</v>
      </c>
      <c r="J1003" s="306">
        <f t="shared" ca="1" si="449"/>
        <v>568.62651553779426</v>
      </c>
      <c r="K1003" s="307">
        <f t="shared" ca="1" si="450"/>
        <v>-6.2033443056636033</v>
      </c>
      <c r="L1003" s="304">
        <f t="shared" ca="1" si="435"/>
        <v>568.66035175069828</v>
      </c>
      <c r="M1003" s="306">
        <f t="shared" ca="1" si="451"/>
        <v>-1.524699998087365</v>
      </c>
      <c r="N1003" s="304">
        <f t="shared" ca="1" si="452"/>
        <v>-87.358874914010698</v>
      </c>
      <c r="P1003" s="310">
        <f t="shared" ca="1" si="453"/>
        <v>23</v>
      </c>
      <c r="Q1003" s="304">
        <f t="shared" ca="1" si="454"/>
        <v>0</v>
      </c>
      <c r="R1003" s="306">
        <f t="shared" ca="1" si="455"/>
        <v>0</v>
      </c>
      <c r="S1003" s="307">
        <f t="shared" ca="1" si="456"/>
        <v>6.1519999999999921</v>
      </c>
      <c r="T1003" s="304">
        <f t="shared" ca="1" si="436"/>
        <v>60.351119999999923</v>
      </c>
      <c r="U1003" s="311">
        <f t="shared" ca="1" si="437"/>
        <v>0</v>
      </c>
      <c r="V1003" s="306">
        <f ca="1">Rho_moyen*(20000-Alt_rampe-pos_z)/(20000+Alt_rampe+pos_z)</f>
        <v>1.2257601454496412</v>
      </c>
      <c r="W1003" s="304">
        <f t="shared" ca="1" si="439"/>
        <v>52.225091620523052</v>
      </c>
      <c r="Y1003" s="314" t="str">
        <f t="shared" ca="1" si="457"/>
        <v/>
      </c>
      <c r="Z1003" s="315" t="str">
        <f t="shared" ca="1" si="458"/>
        <v/>
      </c>
      <c r="AA1003" s="316" t="str">
        <f t="shared" ca="1" si="459"/>
        <v/>
      </c>
      <c r="AC1003" s="310" t="e">
        <f t="shared" ca="1" si="460"/>
        <v>#N/A</v>
      </c>
      <c r="AD1003" s="323" t="e">
        <f t="shared" ca="1" si="461"/>
        <v>#N/A</v>
      </c>
      <c r="AE1003" s="324" t="e">
        <f t="shared" ca="1" si="440"/>
        <v>#N/A</v>
      </c>
      <c r="AG1003" s="306">
        <f t="shared" ca="1" si="462"/>
        <v>1.3104829996235274</v>
      </c>
      <c r="AH1003" s="304">
        <f t="shared" ca="1" si="463"/>
        <v>-8.4890961997148437</v>
      </c>
    </row>
    <row r="1004" spans="1:34" x14ac:dyDescent="0.2">
      <c r="A1004" s="348">
        <f t="shared" ca="1" si="441"/>
        <v>1E-4</v>
      </c>
      <c r="B1004" s="305">
        <f t="shared" ca="1" si="442"/>
        <v>41.422600000001026</v>
      </c>
      <c r="D1004" s="308">
        <f t="shared" ca="1" si="443"/>
        <v>-0.39117888763461117</v>
      </c>
      <c r="E1004" s="309">
        <f t="shared" ca="1" si="444"/>
        <v>-1.3298934265394387</v>
      </c>
      <c r="F1004" s="305">
        <f t="shared" ca="1" si="445"/>
        <v>1.3862313833137168</v>
      </c>
      <c r="G1004" s="308">
        <f t="shared" ca="1" si="446"/>
        <v>6.2251073422123389</v>
      </c>
      <c r="H1004" s="309">
        <f t="shared" ca="1" si="447"/>
        <v>-134.95093704799027</v>
      </c>
      <c r="I1004" s="305">
        <f t="shared" ca="1" si="448"/>
        <v>135.0944387143775</v>
      </c>
      <c r="J1004" s="308">
        <f t="shared" ca="1" si="449"/>
        <v>568.62651553779426</v>
      </c>
      <c r="K1004" s="309">
        <f t="shared" ca="1" si="450"/>
        <v>-6.2168393927189349</v>
      </c>
      <c r="L1004" s="305">
        <f t="shared" ca="1" si="435"/>
        <v>568.66049912464314</v>
      </c>
      <c r="M1004" s="308">
        <f t="shared" ca="1" si="451"/>
        <v>-1.5247003327013282</v>
      </c>
      <c r="N1004" s="305">
        <f t="shared" ca="1" si="452"/>
        <v>-87.358894085978562</v>
      </c>
      <c r="P1004" s="312">
        <f t="shared" ca="1" si="453"/>
        <v>23</v>
      </c>
      <c r="Q1004" s="305">
        <f t="shared" ca="1" si="454"/>
        <v>0</v>
      </c>
      <c r="R1004" s="308">
        <f t="shared" ca="1" si="455"/>
        <v>0</v>
      </c>
      <c r="S1004" s="309">
        <f t="shared" ca="1" si="456"/>
        <v>6.1519999999999921</v>
      </c>
      <c r="T1004" s="305">
        <f t="shared" ca="1" si="436"/>
        <v>60.351119999999923</v>
      </c>
      <c r="U1004" s="313">
        <f t="shared" ca="1" si="437"/>
        <v>0</v>
      </c>
      <c r="V1004" s="308">
        <f t="shared" ca="1" si="438"/>
        <v>1.2257617996249042</v>
      </c>
      <c r="W1004" s="305">
        <f ca="1">1/2*Rho*Sref*Cx*vit_xz^2</f>
        <v>52.22526341878941</v>
      </c>
      <c r="Y1004" s="317" t="str">
        <f ca="1">IF(AND(pos_z&lt;=0,K1003&gt;0),"Impact balistique","") &amp; IF(AND(H1005&lt;0,vit_z&gt;=0),"Apogée","") &amp; IF(AND(Poussee=0,Q1003&gt;0),"Fin de propulsion","") &amp; IF(AND(L1005&gt;L_rampe,pos_xz&lt;=L_rampe),"Sortie de rampe","")</f>
        <v/>
      </c>
      <c r="Z1004" s="318" t="str">
        <f t="shared" ca="1" si="458"/>
        <v/>
      </c>
      <c r="AA1004" s="319" t="str">
        <f t="shared" ca="1" si="459"/>
        <v/>
      </c>
      <c r="AC1004" s="312" t="e">
        <f t="shared" ca="1" si="460"/>
        <v>#N/A</v>
      </c>
      <c r="AD1004" s="325" t="e">
        <f t="shared" ca="1" si="461"/>
        <v>#N/A</v>
      </c>
      <c r="AE1004" s="326" t="e">
        <f t="shared" ca="1" si="440"/>
        <v>#N/A</v>
      </c>
      <c r="AG1004" s="308">
        <f t="shared" ca="1" si="462"/>
        <v>1.3104552250280079</v>
      </c>
      <c r="AH1004" s="305">
        <f t="shared" ca="1" si="463"/>
        <v>-8.4891241255726779</v>
      </c>
    </row>
    <row r="1005" spans="1:34" x14ac:dyDescent="0.2">
      <c r="Y1005" s="303"/>
    </row>
    <row r="1010" spans="12:12" x14ac:dyDescent="0.2">
      <c r="L1010"/>
    </row>
    <row r="1034" spans="5:25" x14ac:dyDescent="0.2">
      <c r="E1034" s="300" t="s">
        <v>257</v>
      </c>
      <c r="J1034" s="301" t="s">
        <v>249</v>
      </c>
      <c r="T1034" s="300" t="s">
        <v>248</v>
      </c>
      <c r="Y1034" s="302" t="s">
        <v>251</v>
      </c>
    </row>
    <row r="1035" spans="5:25" x14ac:dyDescent="0.2">
      <c r="E1035" s="299" t="s">
        <v>261</v>
      </c>
    </row>
    <row r="1036" spans="5:25" x14ac:dyDescent="0.2">
      <c r="E1036" s="299"/>
      <c r="T1036" s="299" t="s">
        <v>254</v>
      </c>
    </row>
    <row r="1037" spans="5:25" x14ac:dyDescent="0.2">
      <c r="E1037" s="299"/>
      <c r="T1037" s="299" t="s">
        <v>258</v>
      </c>
    </row>
    <row r="1038" spans="5:25" x14ac:dyDescent="0.2">
      <c r="E1038" s="299"/>
      <c r="T1038" s="299" t="s">
        <v>259</v>
      </c>
    </row>
    <row r="1039" spans="5:25" x14ac:dyDescent="0.2">
      <c r="E1039" s="299"/>
      <c r="T1039" s="299" t="s">
        <v>265</v>
      </c>
    </row>
    <row r="1040" spans="5:25" x14ac:dyDescent="0.2">
      <c r="E1040" s="299" t="s">
        <v>260</v>
      </c>
      <c r="T1040" s="299" t="s">
        <v>250</v>
      </c>
    </row>
    <row r="1041" spans="5:20" x14ac:dyDescent="0.2">
      <c r="E1041" s="299"/>
      <c r="T1041" s="299" t="s">
        <v>266</v>
      </c>
    </row>
    <row r="1042" spans="5:20" x14ac:dyDescent="0.2">
      <c r="E1042" s="299"/>
      <c r="R1042" s="303"/>
      <c r="T1042" s="299"/>
    </row>
    <row r="1043" spans="5:20" x14ac:dyDescent="0.2">
      <c r="E1043" s="299"/>
    </row>
    <row r="1044" spans="5:20" x14ac:dyDescent="0.2">
      <c r="E1044" s="299"/>
    </row>
    <row r="1045" spans="5:20" x14ac:dyDescent="0.2">
      <c r="E1045" s="299" t="s">
        <v>263</v>
      </c>
      <c r="R1045" s="303"/>
      <c r="T1045" s="299"/>
    </row>
    <row r="1046" spans="5:20" x14ac:dyDescent="0.2">
      <c r="E1046" s="299"/>
    </row>
    <row r="1047" spans="5:20" x14ac:dyDescent="0.2">
      <c r="E1047" s="299"/>
    </row>
    <row r="1048" spans="5:20" x14ac:dyDescent="0.2">
      <c r="E1048" s="299"/>
      <c r="T1048" s="298" t="s">
        <v>256</v>
      </c>
    </row>
    <row r="1049" spans="5:20" x14ac:dyDescent="0.2">
      <c r="E1049" s="299"/>
    </row>
    <row r="1050" spans="5:20" x14ac:dyDescent="0.2">
      <c r="E1050" s="299" t="s">
        <v>264</v>
      </c>
    </row>
    <row r="1053" spans="5:20" x14ac:dyDescent="0.2">
      <c r="T1053" s="298" t="s">
        <v>271</v>
      </c>
    </row>
    <row r="1055" spans="5:20" x14ac:dyDescent="0.2">
      <c r="E1055" s="299" t="s">
        <v>253</v>
      </c>
    </row>
    <row r="1058" spans="5:20" x14ac:dyDescent="0.2">
      <c r="T1058" s="299" t="s">
        <v>272</v>
      </c>
    </row>
    <row r="1060" spans="5:20" x14ac:dyDescent="0.2">
      <c r="E1060" s="299" t="s">
        <v>262</v>
      </c>
    </row>
    <row r="1061" spans="5:20" x14ac:dyDescent="0.2">
      <c r="E1061" s="299"/>
    </row>
    <row r="1062" spans="5:20" x14ac:dyDescent="0.2">
      <c r="E1062" s="299"/>
    </row>
    <row r="1063" spans="5:20" x14ac:dyDescent="0.2">
      <c r="E1063" s="299"/>
    </row>
    <row r="1064" spans="5:20" x14ac:dyDescent="0.2">
      <c r="E1064" s="299"/>
    </row>
    <row r="1065" spans="5:20" x14ac:dyDescent="0.2">
      <c r="E1065" s="299" t="s">
        <v>252</v>
      </c>
    </row>
    <row r="1066" spans="5:20" x14ac:dyDescent="0.2">
      <c r="E1066" s="299"/>
    </row>
    <row r="1067" spans="5:20" x14ac:dyDescent="0.2">
      <c r="E1067" s="299"/>
    </row>
    <row r="1068" spans="5:20" x14ac:dyDescent="0.2">
      <c r="E1068" s="299"/>
    </row>
    <row r="1069" spans="5:20" x14ac:dyDescent="0.2">
      <c r="E1069" s="299"/>
    </row>
    <row r="1070" spans="5:20" x14ac:dyDescent="0.2">
      <c r="E1070" s="299" t="s">
        <v>255</v>
      </c>
    </row>
    <row r="1071" spans="5:20" x14ac:dyDescent="0.2">
      <c r="E1071" s="299"/>
    </row>
    <row r="1072" spans="5:20" x14ac:dyDescent="0.2">
      <c r="E1072" s="299"/>
    </row>
    <row r="1073" spans="5:5" x14ac:dyDescent="0.2">
      <c r="E1073" s="299"/>
    </row>
    <row r="1074" spans="5:5" x14ac:dyDescent="0.2">
      <c r="E1074" s="299"/>
    </row>
    <row r="1075" spans="5:5" x14ac:dyDescent="0.2">
      <c r="E1075" s="299" t="s">
        <v>267</v>
      </c>
    </row>
  </sheetData>
  <sheetProtection password="C6AC" sheet="1"/>
  <mergeCells count="5">
    <mergeCell ref="D1:N1"/>
    <mergeCell ref="P1:W1"/>
    <mergeCell ref="AG1:AH1"/>
    <mergeCell ref="Y2:AA2"/>
    <mergeCell ref="AC1:AE1"/>
  </mergeCells>
  <phoneticPr fontId="8" type="noConversion"/>
  <conditionalFormatting sqref="A4:XFD1004">
    <cfRule type="expression" dxfId="5" priority="7" stopIfTrue="1">
      <formula>OR($Y4="Sortie de rampe",$Z4="Para")</formula>
    </cfRule>
    <cfRule type="expression" dxfId="4" priority="8" stopIfTrue="1">
      <formula>OR($Y4="Fin de propulsion",$Y4="Impact balistique",$AA4="Satellite")</formula>
    </cfRule>
    <cfRule type="expression" dxfId="3" priority="9" stopIfTrue="1">
      <formula>$Y4="Apogée"</formula>
    </cfRule>
  </conditionalFormatting>
  <hyperlinks>
    <hyperlink ref="J1034" r:id="rId1" xr:uid="{6272E4DF-CCF5-A04C-88E5-C8DD9E4BDC0A}"/>
    <hyperlink ref="Y1034" r:id="rId2" xr:uid="{8F438075-8076-1C44-B4BD-DE0BB9A090FB}"/>
  </hyperlinks>
  <pageMargins left="0.39370078740157483" right="0.39370078740157483" top="0.39370078740157483" bottom="0.39370078740157483" header="0" footer="0"/>
  <pageSetup paperSize="9" scale="29" firstPageNumber="0" fitToHeight="5" orientation="portrait" horizontalDpi="300" verticalDpi="300"/>
  <headerFooter alignWithMargins="0"/>
  <drawing r:id="rId3"/>
  <legacyDrawing r:id="rId4"/>
  <oleObjects>
    <mc:AlternateContent xmlns:mc="http://schemas.openxmlformats.org/markup-compatibility/2006">
      <mc:Choice Requires="x14">
        <oleObject progId="Equation.3" shapeId="3091" r:id="rId5">
          <objectPr defaultSize="0" autoPict="0" r:id="rId6">
            <anchor moveWithCells="1">
              <from>
                <xdr:col>18</xdr:col>
                <xdr:colOff>9525</xdr:colOff>
                <xdr:row>1010</xdr:row>
                <xdr:rowOff>85725</xdr:rowOff>
              </from>
              <to>
                <xdr:col>20</xdr:col>
                <xdr:colOff>266700</xdr:colOff>
                <xdr:row>1013</xdr:row>
                <xdr:rowOff>28575</xdr:rowOff>
              </to>
            </anchor>
          </objectPr>
        </oleObject>
      </mc:Choice>
      <mc:Fallback>
        <oleObject progId="Equation.3" shapeId="3091" r:id="rId5"/>
      </mc:Fallback>
    </mc:AlternateContent>
    <mc:AlternateContent xmlns:mc="http://schemas.openxmlformats.org/markup-compatibility/2006">
      <mc:Choice Requires="x14">
        <oleObject progId="Equation.3" shapeId="3092" r:id="rId7">
          <objectPr defaultSize="0" autoPict="0" r:id="rId8">
            <anchor moveWithCells="1">
              <from>
                <xdr:col>21</xdr:col>
                <xdr:colOff>28575</xdr:colOff>
                <xdr:row>1024</xdr:row>
                <xdr:rowOff>142875</xdr:rowOff>
              </from>
              <to>
                <xdr:col>25</xdr:col>
                <xdr:colOff>409575</xdr:colOff>
                <xdr:row>1026</xdr:row>
                <xdr:rowOff>66675</xdr:rowOff>
              </to>
            </anchor>
          </objectPr>
        </oleObject>
      </mc:Choice>
      <mc:Fallback>
        <oleObject progId="Equation.3" shapeId="3092" r:id="rId7"/>
      </mc:Fallback>
    </mc:AlternateContent>
    <mc:AlternateContent xmlns:mc="http://schemas.openxmlformats.org/markup-compatibility/2006">
      <mc:Choice Requires="x14">
        <oleObject progId="Equation.3" shapeId="3096" r:id="rId9">
          <objectPr defaultSize="0" autoPict="0" r:id="rId10">
            <anchor moveWithCells="1">
              <from>
                <xdr:col>16</xdr:col>
                <xdr:colOff>228600</xdr:colOff>
                <xdr:row>1006</xdr:row>
                <xdr:rowOff>28575</xdr:rowOff>
              </from>
              <to>
                <xdr:col>24</xdr:col>
                <xdr:colOff>142875</xdr:colOff>
                <xdr:row>1007</xdr:row>
                <xdr:rowOff>85725</xdr:rowOff>
              </to>
            </anchor>
          </objectPr>
        </oleObject>
      </mc:Choice>
      <mc:Fallback>
        <oleObject progId="Equation.3" shapeId="3096" r:id="rId9"/>
      </mc:Fallback>
    </mc:AlternateContent>
    <mc:AlternateContent xmlns:mc="http://schemas.openxmlformats.org/markup-compatibility/2006">
      <mc:Choice Requires="x14">
        <oleObject progId="Equation.3" shapeId="3112" r:id="rId11">
          <objectPr defaultSize="0" autoPict="0" r:id="rId12">
            <anchor moveWithCells="1">
              <from>
                <xdr:col>7</xdr:col>
                <xdr:colOff>9525</xdr:colOff>
                <xdr:row>1017</xdr:row>
                <xdr:rowOff>142875</xdr:rowOff>
              </from>
              <to>
                <xdr:col>10</xdr:col>
                <xdr:colOff>533400</xdr:colOff>
                <xdr:row>1019</xdr:row>
                <xdr:rowOff>114300</xdr:rowOff>
              </to>
            </anchor>
          </objectPr>
        </oleObject>
      </mc:Choice>
      <mc:Fallback>
        <oleObject progId="Equation.3" shapeId="3112" r:id="rId11"/>
      </mc:Fallback>
    </mc:AlternateContent>
    <mc:AlternateContent xmlns:mc="http://schemas.openxmlformats.org/markup-compatibility/2006">
      <mc:Choice Requires="x14">
        <oleObject progId="Equation.3" shapeId="3114" r:id="rId13">
          <objectPr defaultSize="0" autoPict="0" r:id="rId14">
            <anchor moveWithCells="1">
              <from>
                <xdr:col>7</xdr:col>
                <xdr:colOff>9525</xdr:colOff>
                <xdr:row>1014</xdr:row>
                <xdr:rowOff>152400</xdr:rowOff>
              </from>
              <to>
                <xdr:col>11</xdr:col>
                <xdr:colOff>238125</xdr:colOff>
                <xdr:row>1016</xdr:row>
                <xdr:rowOff>66675</xdr:rowOff>
              </to>
            </anchor>
          </objectPr>
        </oleObject>
      </mc:Choice>
      <mc:Fallback>
        <oleObject progId="Equation.3" shapeId="3114" r:id="rId13"/>
      </mc:Fallback>
    </mc:AlternateContent>
    <mc:AlternateContent xmlns:mc="http://schemas.openxmlformats.org/markup-compatibility/2006">
      <mc:Choice Requires="x14">
        <oleObject progId="Equation.3" shapeId="3115" r:id="rId15">
          <objectPr defaultSize="0" autoPict="0" r:id="rId16">
            <anchor moveWithCells="1">
              <from>
                <xdr:col>7</xdr:col>
                <xdr:colOff>9525</xdr:colOff>
                <xdr:row>1016</xdr:row>
                <xdr:rowOff>66675</xdr:rowOff>
              </from>
              <to>
                <xdr:col>11</xdr:col>
                <xdr:colOff>219075</xdr:colOff>
                <xdr:row>1017</xdr:row>
                <xdr:rowOff>142875</xdr:rowOff>
              </to>
            </anchor>
          </objectPr>
        </oleObject>
      </mc:Choice>
      <mc:Fallback>
        <oleObject progId="Equation.3" shapeId="3115" r:id="rId15"/>
      </mc:Fallback>
    </mc:AlternateContent>
    <mc:AlternateContent xmlns:mc="http://schemas.openxmlformats.org/markup-compatibility/2006">
      <mc:Choice Requires="x14">
        <oleObject progId="Equation.3" shapeId="3119" r:id="rId17">
          <objectPr defaultSize="0" autoPict="0" r:id="rId18">
            <anchor moveWithCells="1">
              <from>
                <xdr:col>10</xdr:col>
                <xdr:colOff>0</xdr:colOff>
                <xdr:row>1022</xdr:row>
                <xdr:rowOff>66675</xdr:rowOff>
              </from>
              <to>
                <xdr:col>17</xdr:col>
                <xdr:colOff>238125</xdr:colOff>
                <xdr:row>1024</xdr:row>
                <xdr:rowOff>142875</xdr:rowOff>
              </to>
            </anchor>
          </objectPr>
        </oleObject>
      </mc:Choice>
      <mc:Fallback>
        <oleObject progId="Equation.3" shapeId="3119" r:id="rId17"/>
      </mc:Fallback>
    </mc:AlternateContent>
    <mc:AlternateContent xmlns:mc="http://schemas.openxmlformats.org/markup-compatibility/2006">
      <mc:Choice Requires="x14">
        <oleObject progId="Equation.3" shapeId="3120" r:id="rId19">
          <objectPr defaultSize="0" autoPict="0" r:id="rId20">
            <anchor moveWithCells="1">
              <from>
                <xdr:col>4</xdr:col>
                <xdr:colOff>0</xdr:colOff>
                <xdr:row>1008</xdr:row>
                <xdr:rowOff>0</xdr:rowOff>
              </from>
              <to>
                <xdr:col>11</xdr:col>
                <xdr:colOff>219075</xdr:colOff>
                <xdr:row>1010</xdr:row>
                <xdr:rowOff>76200</xdr:rowOff>
              </to>
            </anchor>
          </objectPr>
        </oleObject>
      </mc:Choice>
      <mc:Fallback>
        <oleObject progId="Equation.3" shapeId="3120" r:id="rId19"/>
      </mc:Fallback>
    </mc:AlternateContent>
    <mc:AlternateContent xmlns:mc="http://schemas.openxmlformats.org/markup-compatibility/2006">
      <mc:Choice Requires="x14">
        <oleObject progId="Equation.3" shapeId="3121" r:id="rId21">
          <objectPr defaultSize="0" autoPict="0" r:id="rId22">
            <anchor moveWithCells="1">
              <from>
                <xdr:col>4</xdr:col>
                <xdr:colOff>0</xdr:colOff>
                <xdr:row>1010</xdr:row>
                <xdr:rowOff>85725</xdr:rowOff>
              </from>
              <to>
                <xdr:col>12</xdr:col>
                <xdr:colOff>219075</xdr:colOff>
                <xdr:row>1013</xdr:row>
                <xdr:rowOff>0</xdr:rowOff>
              </to>
            </anchor>
          </objectPr>
        </oleObject>
      </mc:Choice>
      <mc:Fallback>
        <oleObject progId="Equation.3" shapeId="3121" r:id="rId21"/>
      </mc:Fallback>
    </mc:AlternateContent>
    <mc:AlternateContent xmlns:mc="http://schemas.openxmlformats.org/markup-compatibility/2006">
      <mc:Choice Requires="x14">
        <oleObject progId="Equation.3" shapeId="3122" r:id="rId23">
          <objectPr defaultSize="0" autoPict="0" r:id="rId24">
            <anchor moveWithCells="1">
              <from>
                <xdr:col>1</xdr:col>
                <xdr:colOff>9525</xdr:colOff>
                <xdr:row>1006</xdr:row>
                <xdr:rowOff>85725</xdr:rowOff>
              </from>
              <to>
                <xdr:col>3</xdr:col>
                <xdr:colOff>495300</xdr:colOff>
                <xdr:row>1007</xdr:row>
                <xdr:rowOff>152400</xdr:rowOff>
              </to>
            </anchor>
          </objectPr>
        </oleObject>
      </mc:Choice>
      <mc:Fallback>
        <oleObject progId="Equation.3" shapeId="3122" r:id="rId23"/>
      </mc:Fallback>
    </mc:AlternateContent>
    <mc:AlternateContent xmlns:mc="http://schemas.openxmlformats.org/markup-compatibility/2006">
      <mc:Choice Requires="x14">
        <oleObject progId="Equation.3" shapeId="3124" r:id="rId25">
          <objectPr defaultSize="0" autoPict="0" r:id="rId26">
            <anchor moveWithCells="1">
              <from>
                <xdr:col>10</xdr:col>
                <xdr:colOff>0</xdr:colOff>
                <xdr:row>1024</xdr:row>
                <xdr:rowOff>152400</xdr:rowOff>
              </from>
              <to>
                <xdr:col>16</xdr:col>
                <xdr:colOff>0</xdr:colOff>
                <xdr:row>1026</xdr:row>
                <xdr:rowOff>123825</xdr:rowOff>
              </to>
            </anchor>
          </objectPr>
        </oleObject>
      </mc:Choice>
      <mc:Fallback>
        <oleObject progId="Equation.3" shapeId="3124" r:id="rId25"/>
      </mc:Fallback>
    </mc:AlternateContent>
    <mc:AlternateContent xmlns:mc="http://schemas.openxmlformats.org/markup-compatibility/2006">
      <mc:Choice Requires="x14">
        <oleObject progId="Equation.3" shapeId="3125" r:id="rId27">
          <objectPr defaultSize="0" autoPict="0" r:id="rId28">
            <anchor moveWithCells="1">
              <from>
                <xdr:col>18</xdr:col>
                <xdr:colOff>9525</xdr:colOff>
                <xdr:row>1013</xdr:row>
                <xdr:rowOff>28575</xdr:rowOff>
              </from>
              <to>
                <xdr:col>21</xdr:col>
                <xdr:colOff>28575</xdr:colOff>
                <xdr:row>1014</xdr:row>
                <xdr:rowOff>104775</xdr:rowOff>
              </to>
            </anchor>
          </objectPr>
        </oleObject>
      </mc:Choice>
      <mc:Fallback>
        <oleObject progId="Equation.3" shapeId="3125" r:id="rId27"/>
      </mc:Fallback>
    </mc:AlternateContent>
    <mc:AlternateContent xmlns:mc="http://schemas.openxmlformats.org/markup-compatibility/2006">
      <mc:Choice Requires="x14">
        <oleObject progId="Equation.3" shapeId="3127" r:id="rId29">
          <objectPr defaultSize="0" autoPict="0" r:id="rId30">
            <anchor moveWithCells="1">
              <from>
                <xdr:col>1</xdr:col>
                <xdr:colOff>9525</xdr:colOff>
                <xdr:row>1005</xdr:row>
                <xdr:rowOff>9525</xdr:rowOff>
              </from>
              <to>
                <xdr:col>10</xdr:col>
                <xdr:colOff>371475</xdr:colOff>
                <xdr:row>1006</xdr:row>
                <xdr:rowOff>76200</xdr:rowOff>
              </to>
            </anchor>
          </objectPr>
        </oleObject>
      </mc:Choice>
      <mc:Fallback>
        <oleObject progId="Equation.3" shapeId="3127" r:id="rId29"/>
      </mc:Fallback>
    </mc:AlternateContent>
    <mc:AlternateContent xmlns:mc="http://schemas.openxmlformats.org/markup-compatibility/2006">
      <mc:Choice Requires="x14">
        <oleObject progId="Equation.3" shapeId="3129" r:id="rId31">
          <objectPr defaultSize="0" autoPict="0" r:id="rId32">
            <anchor moveWithCells="1">
              <from>
                <xdr:col>4</xdr:col>
                <xdr:colOff>0</xdr:colOff>
                <xdr:row>1013</xdr:row>
                <xdr:rowOff>9525</xdr:rowOff>
              </from>
              <to>
                <xdr:col>8</xdr:col>
                <xdr:colOff>180975</xdr:colOff>
                <xdr:row>1014</xdr:row>
                <xdr:rowOff>142875</xdr:rowOff>
              </to>
            </anchor>
          </objectPr>
        </oleObject>
      </mc:Choice>
      <mc:Fallback>
        <oleObject progId="Equation.3" shapeId="3129" r:id="rId31"/>
      </mc:Fallback>
    </mc:AlternateContent>
    <mc:AlternateContent xmlns:mc="http://schemas.openxmlformats.org/markup-compatibility/2006">
      <mc:Choice Requires="x14">
        <oleObject progId="Equation.3" shapeId="3131" r:id="rId33">
          <objectPr defaultSize="0" autoPict="0" r:id="rId34">
            <anchor moveWithCells="1">
              <from>
                <xdr:col>20</xdr:col>
                <xdr:colOff>9525</xdr:colOff>
                <xdr:row>1018</xdr:row>
                <xdr:rowOff>47625</xdr:rowOff>
              </from>
              <to>
                <xdr:col>24</xdr:col>
                <xdr:colOff>981075</xdr:colOff>
                <xdr:row>1019</xdr:row>
                <xdr:rowOff>114300</xdr:rowOff>
              </to>
            </anchor>
          </objectPr>
        </oleObject>
      </mc:Choice>
      <mc:Fallback>
        <oleObject progId="Equation.3" shapeId="3131" r:id="rId33"/>
      </mc:Fallback>
    </mc:AlternateContent>
    <mc:AlternateContent xmlns:mc="http://schemas.openxmlformats.org/markup-compatibility/2006">
      <mc:Choice Requires="x14">
        <oleObject progId="Equation.3" shapeId="3134" r:id="rId35">
          <objectPr defaultSize="0" autoPict="0" r:id="rId36">
            <anchor moveWithCells="1">
              <from>
                <xdr:col>10</xdr:col>
                <xdr:colOff>0</xdr:colOff>
                <xdr:row>1019</xdr:row>
                <xdr:rowOff>123825</xdr:rowOff>
              </from>
              <to>
                <xdr:col>20</xdr:col>
                <xdr:colOff>523875</xdr:colOff>
                <xdr:row>1022</xdr:row>
                <xdr:rowOff>47625</xdr:rowOff>
              </to>
            </anchor>
          </objectPr>
        </oleObject>
      </mc:Choice>
      <mc:Fallback>
        <oleObject progId="Equation.3" shapeId="3134" r:id="rId35"/>
      </mc:Fallback>
    </mc:AlternateContent>
    <mc:AlternateContent xmlns:mc="http://schemas.openxmlformats.org/markup-compatibility/2006">
      <mc:Choice Requires="x14">
        <oleObject progId="Equation.3" shapeId="3135" r:id="rId37">
          <objectPr defaultSize="0" autoPict="0" r:id="rId38">
            <anchor moveWithCells="1">
              <from>
                <xdr:col>12</xdr:col>
                <xdr:colOff>0</xdr:colOff>
                <xdr:row>1018</xdr:row>
                <xdr:rowOff>47625</xdr:rowOff>
              </from>
              <to>
                <xdr:col>19</xdr:col>
                <xdr:colOff>161925</xdr:colOff>
                <xdr:row>1019</xdr:row>
                <xdr:rowOff>114300</xdr:rowOff>
              </to>
            </anchor>
          </objectPr>
        </oleObject>
      </mc:Choice>
      <mc:Fallback>
        <oleObject progId="Equation.3" shapeId="3135" r:id="rId37"/>
      </mc:Fallback>
    </mc:AlternateContent>
    <mc:AlternateContent xmlns:mc="http://schemas.openxmlformats.org/markup-compatibility/2006">
      <mc:Choice Requires="x14">
        <oleObject progId="Equation.3" shapeId="3141" r:id="rId39">
          <objectPr defaultSize="0" autoPict="0" r:id="rId40">
            <anchor moveWithCells="1">
              <from>
                <xdr:col>33</xdr:col>
                <xdr:colOff>9525</xdr:colOff>
                <xdr:row>1007</xdr:row>
                <xdr:rowOff>104775</xdr:rowOff>
              </from>
              <to>
                <xdr:col>37</xdr:col>
                <xdr:colOff>257175</xdr:colOff>
                <xdr:row>1010</xdr:row>
                <xdr:rowOff>66675</xdr:rowOff>
              </to>
            </anchor>
          </objectPr>
        </oleObject>
      </mc:Choice>
      <mc:Fallback>
        <oleObject progId="Equation.3" shapeId="3141" r:id="rId39"/>
      </mc:Fallback>
    </mc:AlternateContent>
    <mc:AlternateContent xmlns:mc="http://schemas.openxmlformats.org/markup-compatibility/2006">
      <mc:Choice Requires="x14">
        <oleObject progId="Equation.3" shapeId="3142" r:id="rId41">
          <objectPr defaultSize="0" autoPict="0" r:id="rId42">
            <anchor moveWithCells="1">
              <from>
                <xdr:col>33</xdr:col>
                <xdr:colOff>9525</xdr:colOff>
                <xdr:row>1010</xdr:row>
                <xdr:rowOff>76200</xdr:rowOff>
              </from>
              <to>
                <xdr:col>35</xdr:col>
                <xdr:colOff>657225</xdr:colOff>
                <xdr:row>1013</xdr:row>
                <xdr:rowOff>38100</xdr:rowOff>
              </to>
            </anchor>
          </objectPr>
        </oleObject>
      </mc:Choice>
      <mc:Fallback>
        <oleObject progId="Equation.3" shapeId="3142" r:id="rId41"/>
      </mc:Fallback>
    </mc:AlternateContent>
    <mc:AlternateContent xmlns:mc="http://schemas.openxmlformats.org/markup-compatibility/2006">
      <mc:Choice Requires="x14">
        <oleObject progId="Equation.3" shapeId="3157" r:id="rId43">
          <objectPr defaultSize="0" autoPict="0" r:id="rId44">
            <anchor moveWithCells="1">
              <from>
                <xdr:col>4</xdr:col>
                <xdr:colOff>0</xdr:colOff>
                <xdr:row>1035</xdr:row>
                <xdr:rowOff>28575</xdr:rowOff>
              </from>
              <to>
                <xdr:col>11</xdr:col>
                <xdr:colOff>504825</xdr:colOff>
                <xdr:row>1038</xdr:row>
                <xdr:rowOff>28575</xdr:rowOff>
              </to>
            </anchor>
          </objectPr>
        </oleObject>
      </mc:Choice>
      <mc:Fallback>
        <oleObject progId="Equation.3" shapeId="3157" r:id="rId43"/>
      </mc:Fallback>
    </mc:AlternateContent>
    <mc:AlternateContent xmlns:mc="http://schemas.openxmlformats.org/markup-compatibility/2006">
      <mc:Choice Requires="x14">
        <oleObject progId="Equation.3" shapeId="3158" r:id="rId45">
          <objectPr defaultSize="0" autoPict="0" r:id="rId46">
            <anchor moveWithCells="1">
              <from>
                <xdr:col>4</xdr:col>
                <xdr:colOff>0</xdr:colOff>
                <xdr:row>1040</xdr:row>
                <xdr:rowOff>28575</xdr:rowOff>
              </from>
              <to>
                <xdr:col>12</xdr:col>
                <xdr:colOff>28575</xdr:colOff>
                <xdr:row>1043</xdr:row>
                <xdr:rowOff>28575</xdr:rowOff>
              </to>
            </anchor>
          </objectPr>
        </oleObject>
      </mc:Choice>
      <mc:Fallback>
        <oleObject progId="Equation.3" shapeId="3158" r:id="rId45"/>
      </mc:Fallback>
    </mc:AlternateContent>
    <mc:AlternateContent xmlns:mc="http://schemas.openxmlformats.org/markup-compatibility/2006">
      <mc:Choice Requires="x14">
        <oleObject progId="Equation.3" shapeId="3161" r:id="rId47">
          <objectPr defaultSize="0" autoPict="0" r:id="rId48">
            <anchor moveWithCells="1">
              <from>
                <xdr:col>18</xdr:col>
                <xdr:colOff>9525</xdr:colOff>
                <xdr:row>1014</xdr:row>
                <xdr:rowOff>104775</xdr:rowOff>
              </from>
              <to>
                <xdr:col>20</xdr:col>
                <xdr:colOff>304800</xdr:colOff>
                <xdr:row>1016</xdr:row>
                <xdr:rowOff>9525</xdr:rowOff>
              </to>
            </anchor>
          </objectPr>
        </oleObject>
      </mc:Choice>
      <mc:Fallback>
        <oleObject progId="Equation.3" shapeId="3161" r:id="rId47"/>
      </mc:Fallback>
    </mc:AlternateContent>
    <mc:AlternateContent xmlns:mc="http://schemas.openxmlformats.org/markup-compatibility/2006">
      <mc:Choice Requires="x14">
        <oleObject progId="Equation.3" shapeId="3162" r:id="rId49">
          <objectPr defaultSize="0" autoPict="0" r:id="rId50">
            <anchor moveWithCells="1">
              <from>
                <xdr:col>16</xdr:col>
                <xdr:colOff>228600</xdr:colOff>
                <xdr:row>1007</xdr:row>
                <xdr:rowOff>104775</xdr:rowOff>
              </from>
              <to>
                <xdr:col>32</xdr:col>
                <xdr:colOff>152400</xdr:colOff>
                <xdr:row>1010</xdr:row>
                <xdr:rowOff>76200</xdr:rowOff>
              </to>
            </anchor>
          </objectPr>
        </oleObject>
      </mc:Choice>
      <mc:Fallback>
        <oleObject progId="Equation.3" shapeId="3162" r:id="rId49"/>
      </mc:Fallback>
    </mc:AlternateContent>
    <mc:AlternateContent xmlns:mc="http://schemas.openxmlformats.org/markup-compatibility/2006">
      <mc:Choice Requires="x14">
        <oleObject progId="Equation.3" shapeId="3167" r:id="rId51">
          <objectPr defaultSize="0" autoPict="0" r:id="rId52">
            <anchor moveWithCells="1">
              <from>
                <xdr:col>4</xdr:col>
                <xdr:colOff>0</xdr:colOff>
                <xdr:row>1055</xdr:row>
                <xdr:rowOff>28575</xdr:rowOff>
              </from>
              <to>
                <xdr:col>12</xdr:col>
                <xdr:colOff>304800</xdr:colOff>
                <xdr:row>1058</xdr:row>
                <xdr:rowOff>47625</xdr:rowOff>
              </to>
            </anchor>
          </objectPr>
        </oleObject>
      </mc:Choice>
      <mc:Fallback>
        <oleObject progId="Equation.3" shapeId="3167" r:id="rId51"/>
      </mc:Fallback>
    </mc:AlternateContent>
    <mc:AlternateContent xmlns:mc="http://schemas.openxmlformats.org/markup-compatibility/2006">
      <mc:Choice Requires="x14">
        <oleObject progId="Equation.3" shapeId="3168" r:id="rId53">
          <objectPr defaultSize="0" autoPict="0" r:id="rId54">
            <anchor moveWithCells="1">
              <from>
                <xdr:col>4</xdr:col>
                <xdr:colOff>0</xdr:colOff>
                <xdr:row>1060</xdr:row>
                <xdr:rowOff>28575</xdr:rowOff>
              </from>
              <to>
                <xdr:col>15</xdr:col>
                <xdr:colOff>47625</xdr:colOff>
                <xdr:row>1063</xdr:row>
                <xdr:rowOff>47625</xdr:rowOff>
              </to>
            </anchor>
          </objectPr>
        </oleObject>
      </mc:Choice>
      <mc:Fallback>
        <oleObject progId="Equation.3" shapeId="3168" r:id="rId53"/>
      </mc:Fallback>
    </mc:AlternateContent>
    <mc:AlternateContent xmlns:mc="http://schemas.openxmlformats.org/markup-compatibility/2006">
      <mc:Choice Requires="x14">
        <oleObject progId="Equation.3" shapeId="3169" r:id="rId55">
          <objectPr defaultSize="0" autoPict="0" r:id="rId56">
            <anchor moveWithCells="1">
              <from>
                <xdr:col>4</xdr:col>
                <xdr:colOff>0</xdr:colOff>
                <xdr:row>1065</xdr:row>
                <xdr:rowOff>28575</xdr:rowOff>
              </from>
              <to>
                <xdr:col>16</xdr:col>
                <xdr:colOff>609600</xdr:colOff>
                <xdr:row>1068</xdr:row>
                <xdr:rowOff>47625</xdr:rowOff>
              </to>
            </anchor>
          </objectPr>
        </oleObject>
      </mc:Choice>
      <mc:Fallback>
        <oleObject progId="Equation.3" shapeId="3169" r:id="rId55"/>
      </mc:Fallback>
    </mc:AlternateContent>
    <mc:AlternateContent xmlns:mc="http://schemas.openxmlformats.org/markup-compatibility/2006">
      <mc:Choice Requires="x14">
        <oleObject progId="Equation.3" shapeId="3173" r:id="rId57">
          <objectPr defaultSize="0" autoPict="0" r:id="rId58">
            <anchor moveWithCells="1">
              <from>
                <xdr:col>4</xdr:col>
                <xdr:colOff>0</xdr:colOff>
                <xdr:row>1045</xdr:row>
                <xdr:rowOff>28575</xdr:rowOff>
              </from>
              <to>
                <xdr:col>16</xdr:col>
                <xdr:colOff>104775</xdr:colOff>
                <xdr:row>1048</xdr:row>
                <xdr:rowOff>28575</xdr:rowOff>
              </to>
            </anchor>
          </objectPr>
        </oleObject>
      </mc:Choice>
      <mc:Fallback>
        <oleObject progId="Equation.3" shapeId="3173" r:id="rId57"/>
      </mc:Fallback>
    </mc:AlternateContent>
    <mc:AlternateContent xmlns:mc="http://schemas.openxmlformats.org/markup-compatibility/2006">
      <mc:Choice Requires="x14">
        <oleObject progId="Equation.3" shapeId="3174" r:id="rId59">
          <objectPr defaultSize="0" autoPict="0" r:id="rId60">
            <anchor moveWithCells="1">
              <from>
                <xdr:col>4</xdr:col>
                <xdr:colOff>0</xdr:colOff>
                <xdr:row>1050</xdr:row>
                <xdr:rowOff>28575</xdr:rowOff>
              </from>
              <to>
                <xdr:col>16</xdr:col>
                <xdr:colOff>352425</xdr:colOff>
                <xdr:row>1053</xdr:row>
                <xdr:rowOff>47625</xdr:rowOff>
              </to>
            </anchor>
          </objectPr>
        </oleObject>
      </mc:Choice>
      <mc:Fallback>
        <oleObject progId="Equation.3" shapeId="3174" r:id="rId59"/>
      </mc:Fallback>
    </mc:AlternateContent>
    <mc:AlternateContent xmlns:mc="http://schemas.openxmlformats.org/markup-compatibility/2006">
      <mc:Choice Requires="x14">
        <oleObject progId="Equation.3" shapeId="3178" r:id="rId61">
          <objectPr defaultSize="0" autoPict="0" r:id="rId62">
            <anchor moveWithCells="1">
              <from>
                <xdr:col>4</xdr:col>
                <xdr:colOff>0</xdr:colOff>
                <xdr:row>1070</xdr:row>
                <xdr:rowOff>28575</xdr:rowOff>
              </from>
              <to>
                <xdr:col>12</xdr:col>
                <xdr:colOff>371475</xdr:colOff>
                <xdr:row>1073</xdr:row>
                <xdr:rowOff>47625</xdr:rowOff>
              </to>
            </anchor>
          </objectPr>
        </oleObject>
      </mc:Choice>
      <mc:Fallback>
        <oleObject progId="Equation.3" shapeId="3178" r:id="rId61"/>
      </mc:Fallback>
    </mc:AlternateContent>
    <mc:AlternateContent xmlns:mc="http://schemas.openxmlformats.org/markup-compatibility/2006">
      <mc:Choice Requires="x14">
        <oleObject progId="Equation.3" shapeId="3188" r:id="rId63">
          <objectPr defaultSize="0" autoPict="0" r:id="rId64">
            <anchor moveWithCells="1">
              <from>
                <xdr:col>19</xdr:col>
                <xdr:colOff>0</xdr:colOff>
                <xdr:row>1053</xdr:row>
                <xdr:rowOff>28575</xdr:rowOff>
              </from>
              <to>
                <xdr:col>32</xdr:col>
                <xdr:colOff>381000</xdr:colOff>
                <xdr:row>1056</xdr:row>
                <xdr:rowOff>28575</xdr:rowOff>
              </to>
            </anchor>
          </objectPr>
        </oleObject>
      </mc:Choice>
      <mc:Fallback>
        <oleObject progId="Equation.3" shapeId="3188" r:id="rId63"/>
      </mc:Fallback>
    </mc:AlternateContent>
    <mc:AlternateContent xmlns:mc="http://schemas.openxmlformats.org/markup-compatibility/2006">
      <mc:Choice Requires="x14">
        <oleObject progId="Equation.3" shapeId="3192" r:id="rId65">
          <objectPr defaultSize="0" autoPict="0" r:id="rId66">
            <anchor moveWithCells="1">
              <from>
                <xdr:col>21</xdr:col>
                <xdr:colOff>28575</xdr:colOff>
                <xdr:row>1022</xdr:row>
                <xdr:rowOff>47625</xdr:rowOff>
              </from>
              <to>
                <xdr:col>32</xdr:col>
                <xdr:colOff>238125</xdr:colOff>
                <xdr:row>1024</xdr:row>
                <xdr:rowOff>114300</xdr:rowOff>
              </to>
            </anchor>
          </objectPr>
        </oleObject>
      </mc:Choice>
      <mc:Fallback>
        <oleObject progId="Equation.3" shapeId="3192" r:id="rId65"/>
      </mc:Fallback>
    </mc:AlternateContent>
    <mc:AlternateContent xmlns:mc="http://schemas.openxmlformats.org/markup-compatibility/2006">
      <mc:Choice Requires="x14">
        <oleObject progId="Equation.3" shapeId="3220" r:id="rId67">
          <objectPr defaultSize="0" autoPict="0" r:id="rId68">
            <anchor moveWithCells="1">
              <from>
                <xdr:col>33</xdr:col>
                <xdr:colOff>0</xdr:colOff>
                <xdr:row>1017</xdr:row>
                <xdr:rowOff>28575</xdr:rowOff>
              </from>
              <to>
                <xdr:col>36</xdr:col>
                <xdr:colOff>152400</xdr:colOff>
                <xdr:row>1020</xdr:row>
                <xdr:rowOff>28575</xdr:rowOff>
              </to>
            </anchor>
          </objectPr>
        </oleObject>
      </mc:Choice>
      <mc:Fallback>
        <oleObject progId="Equation.3" shapeId="3220" r:id="rId67"/>
      </mc:Fallback>
    </mc:AlternateContent>
    <mc:AlternateContent xmlns:mc="http://schemas.openxmlformats.org/markup-compatibility/2006">
      <mc:Choice Requires="x14">
        <oleObject progId="Equation.3" shapeId="3222" r:id="rId69">
          <objectPr defaultSize="0" autoPict="0" r:id="rId70">
            <anchor moveWithCells="1">
              <from>
                <xdr:col>33</xdr:col>
                <xdr:colOff>0</xdr:colOff>
                <xdr:row>1014</xdr:row>
                <xdr:rowOff>0</xdr:rowOff>
              </from>
              <to>
                <xdr:col>36</xdr:col>
                <xdr:colOff>638175</xdr:colOff>
                <xdr:row>1017</xdr:row>
                <xdr:rowOff>0</xdr:rowOff>
              </to>
            </anchor>
          </objectPr>
        </oleObject>
      </mc:Choice>
      <mc:Fallback>
        <oleObject progId="Equation.3" shapeId="3222" r:id="rId69"/>
      </mc:Fallback>
    </mc:AlternateContent>
    <mc:AlternateContent xmlns:mc="http://schemas.openxmlformats.org/markup-compatibility/2006">
      <mc:Choice Requires="x14">
        <oleObject progId="Equation.3" shapeId="3223" r:id="rId71">
          <objectPr defaultSize="0" autoPict="0" r:id="rId72">
            <anchor moveWithCells="1">
              <from>
                <xdr:col>33</xdr:col>
                <xdr:colOff>0</xdr:colOff>
                <xdr:row>1020</xdr:row>
                <xdr:rowOff>38100</xdr:rowOff>
              </from>
              <to>
                <xdr:col>35</xdr:col>
                <xdr:colOff>123825</xdr:colOff>
                <xdr:row>1023</xdr:row>
                <xdr:rowOff>38100</xdr:rowOff>
              </to>
            </anchor>
          </objectPr>
        </oleObject>
      </mc:Choice>
      <mc:Fallback>
        <oleObject progId="Equation.3" shapeId="3223" r:id="rId71"/>
      </mc:Fallback>
    </mc:AlternateContent>
    <mc:AlternateContent xmlns:mc="http://schemas.openxmlformats.org/markup-compatibility/2006">
      <mc:Choice Requires="x14">
        <oleObject progId="Equation.3" shapeId="3225" r:id="rId73">
          <objectPr defaultSize="0" autoPict="0" r:id="rId74">
            <anchor moveWithCells="1">
              <from>
                <xdr:col>33</xdr:col>
                <xdr:colOff>0</xdr:colOff>
                <xdr:row>1023</xdr:row>
                <xdr:rowOff>66675</xdr:rowOff>
              </from>
              <to>
                <xdr:col>36</xdr:col>
                <xdr:colOff>47625</xdr:colOff>
                <xdr:row>1026</xdr:row>
                <xdr:rowOff>66675</xdr:rowOff>
              </to>
            </anchor>
          </objectPr>
        </oleObject>
      </mc:Choice>
      <mc:Fallback>
        <oleObject progId="Equation.3" shapeId="3225" r:id="rId73"/>
      </mc:Fallback>
    </mc:AlternateContent>
    <mc:AlternateContent xmlns:mc="http://schemas.openxmlformats.org/markup-compatibility/2006">
      <mc:Choice Requires="x14">
        <oleObject progId="Equation.3" shapeId="3281" r:id="rId75">
          <objectPr defaultSize="0" autoPict="0" r:id="rId76">
            <anchor moveWithCells="1">
              <from>
                <xdr:col>19</xdr:col>
                <xdr:colOff>0</xdr:colOff>
                <xdr:row>1048</xdr:row>
                <xdr:rowOff>28575</xdr:rowOff>
              </from>
              <to>
                <xdr:col>34</xdr:col>
                <xdr:colOff>314325</xdr:colOff>
                <xdr:row>1051</xdr:row>
                <xdr:rowOff>76200</xdr:rowOff>
              </to>
            </anchor>
          </objectPr>
        </oleObject>
      </mc:Choice>
      <mc:Fallback>
        <oleObject progId="Equation.3" shapeId="3281" r:id="rId7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82E6-0EC0-2943-A553-339318FFFE97}">
  <sheetPr codeName="Feuil8">
    <pageSetUpPr fitToPage="1"/>
  </sheetPr>
  <dimension ref="A1:M79"/>
  <sheetViews>
    <sheetView showGridLines="0" workbookViewId="0">
      <selection activeCell="B80" sqref="B80"/>
    </sheetView>
  </sheetViews>
  <sheetFormatPr baseColWidth="10" defaultRowHeight="12.75" x14ac:dyDescent="0.2"/>
  <cols>
    <col min="1" max="1" width="2.140625" customWidth="1"/>
    <col min="2" max="2" width="16.42578125" customWidth="1"/>
    <col min="3" max="4" width="11.42578125" customWidth="1"/>
  </cols>
  <sheetData>
    <row r="1" spans="1:13" x14ac:dyDescent="0.2">
      <c r="A1" s="51"/>
      <c r="B1" s="52"/>
      <c r="C1" s="53"/>
      <c r="D1" s="52"/>
      <c r="E1" s="72"/>
      <c r="F1" s="72"/>
      <c r="G1" s="72"/>
      <c r="H1" s="72"/>
      <c r="I1" s="72"/>
      <c r="J1" s="72"/>
      <c r="K1" s="72"/>
      <c r="L1" s="72"/>
      <c r="M1" s="73"/>
    </row>
    <row r="2" spans="1:13" ht="12.75" customHeight="1" x14ac:dyDescent="0.2">
      <c r="A2" s="56"/>
      <c r="B2" s="2"/>
      <c r="C2" s="591" t="s">
        <v>284</v>
      </c>
      <c r="D2" s="591"/>
      <c r="M2" s="75"/>
    </row>
    <row r="3" spans="1:13" ht="12.75" customHeight="1" x14ac:dyDescent="0.2">
      <c r="A3" s="56"/>
      <c r="B3" s="2"/>
      <c r="C3" s="591"/>
      <c r="D3" s="591"/>
      <c r="M3" s="75"/>
    </row>
    <row r="4" spans="1:13" x14ac:dyDescent="0.2">
      <c r="A4" s="56"/>
      <c r="B4" s="2"/>
      <c r="C4" s="595" t="str">
        <f>IF(Lang="Français","Abaques de performance",IF(Lang="English","Performance charts",""))</f>
        <v>Abaques de performance</v>
      </c>
      <c r="D4" s="595"/>
      <c r="M4" s="75"/>
    </row>
    <row r="5" spans="1:13" x14ac:dyDescent="0.2">
      <c r="A5" s="56"/>
      <c r="B5" s="2"/>
      <c r="C5" s="595" t="str">
        <f>IF(Lang="Français","Calcul analytique simple",IF(Lang="English","Analytical computation",""))</f>
        <v>Calcul analytique simple</v>
      </c>
      <c r="D5" s="595"/>
      <c r="M5" s="75"/>
    </row>
    <row r="6" spans="1:13" x14ac:dyDescent="0.2">
      <c r="A6" s="56"/>
      <c r="B6" s="87"/>
      <c r="C6" s="1"/>
      <c r="D6" s="1"/>
      <c r="M6" s="75"/>
    </row>
    <row r="7" spans="1:13" x14ac:dyDescent="0.2">
      <c r="A7" s="59"/>
      <c r="B7" s="6"/>
      <c r="C7" s="592" t="str">
        <f>IF(Lang="Français","Fusée",IF(Lang="English","Rocket",""))</f>
        <v>Fusée</v>
      </c>
      <c r="D7" s="592"/>
      <c r="M7" s="75"/>
    </row>
    <row r="8" spans="1:13" ht="15.75" x14ac:dyDescent="0.25">
      <c r="A8" s="59"/>
      <c r="B8" s="140" t="str">
        <f>IF(Lang="Français","Nom",IF(Lang="English","Name",""))</f>
        <v>Nom</v>
      </c>
      <c r="C8" s="593" t="str">
        <f>Nom</f>
        <v>SP-02-alpha</v>
      </c>
      <c r="D8" s="593"/>
      <c r="M8" s="75"/>
    </row>
    <row r="9" spans="1:13" ht="15.75" x14ac:dyDescent="0.25">
      <c r="A9" s="59"/>
      <c r="B9" s="140" t="s">
        <v>4</v>
      </c>
      <c r="C9" s="593" t="str">
        <f>Club</f>
        <v>l'AéroIPSA</v>
      </c>
      <c r="D9" s="593"/>
      <c r="M9" s="75"/>
    </row>
    <row r="10" spans="1:13" x14ac:dyDescent="0.2">
      <c r="A10" s="59"/>
      <c r="B10" s="140" t="str">
        <f>IF(Lang="Français","Masse sans propu",IF(Lang="English","Mass without M",""))</f>
        <v>Masse sans propu</v>
      </c>
      <c r="C10" s="654">
        <f>MasseSans</f>
        <v>5.5</v>
      </c>
      <c r="D10" s="654"/>
      <c r="M10" s="75"/>
    </row>
    <row r="11" spans="1:13" x14ac:dyDescent="0.2">
      <c r="A11" s="59"/>
      <c r="B11" s="140" t="str">
        <f>IF(Lang="Français","Masse totale",IF(Lang="English","Total mass",""))</f>
        <v>Masse totale</v>
      </c>
      <c r="C11" s="657" t="str">
        <f ca="1">MassePlein &amp; " kg ±" &amp; MasseSans &amp; " kg"</f>
        <v>7,185 kg ±5,5 kg</v>
      </c>
      <c r="D11" s="657"/>
      <c r="M11" s="75"/>
    </row>
    <row r="12" spans="1:13" x14ac:dyDescent="0.2">
      <c r="A12" s="59"/>
      <c r="B12" s="227" t="str">
        <f>IF(Lang="Français","Propulseur",IF(Lang="English","Motor",""))</f>
        <v>Propulseur</v>
      </c>
      <c r="C12" s="620" t="str">
        <f>Propu</f>
        <v>Barasinga (Pro54-5G)</v>
      </c>
      <c r="D12" s="621"/>
      <c r="M12" s="75"/>
    </row>
    <row r="13" spans="1:13" x14ac:dyDescent="0.2">
      <c r="A13" s="59"/>
      <c r="B13" s="1"/>
      <c r="C13" s="1"/>
      <c r="D13" s="1"/>
      <c r="M13" s="75"/>
    </row>
    <row r="14" spans="1:13" x14ac:dyDescent="0.2">
      <c r="A14" s="74"/>
      <c r="C14" s="592" t="str">
        <f>IF(Lang="Français","Traînée Aérdynamique",IF(Lang="English","Drag",""))</f>
        <v>Traînée Aérdynamique</v>
      </c>
      <c r="D14" s="592"/>
      <c r="M14" s="75"/>
    </row>
    <row r="15" spans="1:13" x14ac:dyDescent="0.2">
      <c r="A15" s="74"/>
      <c r="B15" s="139" t="str">
        <f>IF(Lang="Français","Diamètre Ø",IF(Lang="English","Diameter Ø",""))</f>
        <v>Diamètre Ø</v>
      </c>
      <c r="C15" s="655">
        <f>D_ref</f>
        <v>84</v>
      </c>
      <c r="D15" s="655"/>
      <c r="M15" s="75"/>
    </row>
    <row r="16" spans="1:13" x14ac:dyDescent="0.2">
      <c r="A16" s="74"/>
      <c r="B16" s="140" t="s">
        <v>5</v>
      </c>
      <c r="C16" s="656">
        <f>Cx</f>
        <v>0.6</v>
      </c>
      <c r="D16" s="656"/>
      <c r="M16" s="75"/>
    </row>
    <row r="17" spans="1:13" x14ac:dyDescent="0.2">
      <c r="A17" s="74"/>
      <c r="M17" s="75"/>
    </row>
    <row r="18" spans="1:13" x14ac:dyDescent="0.2">
      <c r="A18" s="74"/>
      <c r="M18" s="75"/>
    </row>
    <row r="19" spans="1:13" x14ac:dyDescent="0.2">
      <c r="A19" s="74"/>
      <c r="M19" s="75"/>
    </row>
    <row r="20" spans="1:13" x14ac:dyDescent="0.2">
      <c r="A20" s="74"/>
      <c r="M20" s="75"/>
    </row>
    <row r="21" spans="1:13" x14ac:dyDescent="0.2">
      <c r="A21" s="74"/>
      <c r="M21" s="75"/>
    </row>
    <row r="22" spans="1:13" x14ac:dyDescent="0.2">
      <c r="A22" s="74"/>
      <c r="M22" s="75"/>
    </row>
    <row r="23" spans="1:13" x14ac:dyDescent="0.2">
      <c r="A23" s="74"/>
      <c r="M23" s="75"/>
    </row>
    <row r="24" spans="1:13" x14ac:dyDescent="0.2">
      <c r="A24" s="74"/>
      <c r="M24" s="75"/>
    </row>
    <row r="25" spans="1:13" x14ac:dyDescent="0.2">
      <c r="A25" s="74"/>
      <c r="M25" s="75"/>
    </row>
    <row r="26" spans="1:13" x14ac:dyDescent="0.2">
      <c r="A26" s="74"/>
      <c r="M26" s="75"/>
    </row>
    <row r="27" spans="1:13" x14ac:dyDescent="0.2">
      <c r="A27" s="74"/>
      <c r="M27" s="75"/>
    </row>
    <row r="28" spans="1:13" x14ac:dyDescent="0.2">
      <c r="A28" s="74"/>
      <c r="M28" s="75"/>
    </row>
    <row r="29" spans="1:13" x14ac:dyDescent="0.2">
      <c r="A29" s="74"/>
      <c r="M29" s="75"/>
    </row>
    <row r="30" spans="1:13" x14ac:dyDescent="0.2">
      <c r="A30" s="74"/>
      <c r="M30" s="75"/>
    </row>
    <row r="31" spans="1:13" x14ac:dyDescent="0.2">
      <c r="A31" s="74"/>
      <c r="M31" s="75"/>
    </row>
    <row r="32" spans="1:13" x14ac:dyDescent="0.2">
      <c r="A32" s="74"/>
      <c r="M32" s="75"/>
    </row>
    <row r="33" spans="1:13" x14ac:dyDescent="0.2">
      <c r="A33" s="74"/>
      <c r="M33" s="75"/>
    </row>
    <row r="34" spans="1:13" x14ac:dyDescent="0.2">
      <c r="A34" s="74"/>
      <c r="M34" s="75"/>
    </row>
    <row r="35" spans="1:13" ht="13.5" thickBo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  <row r="39" spans="1:13" x14ac:dyDescent="0.2">
      <c r="B39" s="419" t="s">
        <v>64</v>
      </c>
      <c r="C39" s="170" t="s">
        <v>288</v>
      </c>
      <c r="D39" s="134" t="s">
        <v>285</v>
      </c>
      <c r="E39" s="134" t="s">
        <v>289</v>
      </c>
      <c r="F39" s="134" t="s">
        <v>290</v>
      </c>
      <c r="G39" s="134" t="s">
        <v>13</v>
      </c>
      <c r="H39" s="134" t="s">
        <v>286</v>
      </c>
      <c r="I39" s="134" t="s">
        <v>287</v>
      </c>
      <c r="J39" s="134" t="s">
        <v>302</v>
      </c>
      <c r="K39" s="134" t="s">
        <v>303</v>
      </c>
      <c r="L39" s="134" t="s">
        <v>305</v>
      </c>
      <c r="M39" s="134" t="s">
        <v>293</v>
      </c>
    </row>
    <row r="40" spans="1:13" x14ac:dyDescent="0.2">
      <c r="B40" s="420" t="s">
        <v>294</v>
      </c>
      <c r="C40" s="170" t="s">
        <v>295</v>
      </c>
      <c r="D40" s="134" t="s">
        <v>296</v>
      </c>
      <c r="E40" s="134" t="s">
        <v>297</v>
      </c>
      <c r="F40" s="134" t="s">
        <v>298</v>
      </c>
      <c r="G40" s="134" t="s">
        <v>299</v>
      </c>
      <c r="H40" s="134" t="s">
        <v>300</v>
      </c>
      <c r="I40" s="134" t="s">
        <v>301</v>
      </c>
      <c r="J40" s="134" t="s">
        <v>291</v>
      </c>
      <c r="K40" s="134" t="s">
        <v>292</v>
      </c>
      <c r="L40" s="134"/>
      <c r="M40" s="134"/>
    </row>
    <row r="41" spans="1:13" x14ac:dyDescent="0.2">
      <c r="B41" s="425">
        <f t="shared" ref="B41:B49" ca="1" si="0">MAX(D_ref*0.5, Diam_propu)</f>
        <v>54</v>
      </c>
      <c r="C41" s="403">
        <f t="shared" ref="C41:C67" ca="1" si="1">1/2*Rho_moyen*PI()*D_var^2/4*Cx/10^6</f>
        <v>8.4165623384160752E-4</v>
      </c>
      <c r="D41" s="400">
        <f ca="1">MpropuPlein+0*MasseSans</f>
        <v>1.6850000000000001</v>
      </c>
      <c r="E41" s="400">
        <f t="shared" ref="E41:E67" ca="1" si="2">m_var - 0.5*m_poudre</f>
        <v>1.1685000000000001</v>
      </c>
      <c r="F41" s="400">
        <f t="shared" ref="F41:F67" ca="1" si="3">m_var - m_poudre</f>
        <v>0.65200000000000014</v>
      </c>
      <c r="G41" s="407">
        <f t="shared" ref="G41:G67" ca="1" si="4">MAX(0, (I_total/Temps_fin_propu)/m_prop-g)</f>
        <v>480.87217115245477</v>
      </c>
      <c r="H41" s="406">
        <f t="shared" ref="H41:H67" ca="1" si="5">Q_var/m_prop</f>
        <v>7.2028774825982661E-4</v>
      </c>
      <c r="I41" s="403">
        <f t="shared" ref="I41:I67" ca="1" si="6">Q_var/m_bal</f>
        <v>1.290883794235594E-3</v>
      </c>
      <c r="J41" s="403">
        <f t="shared" ref="J41:J67" ca="1" si="7">1/(2*b_prop)*LN(  ((EXP(2*SQRT(a_prop*b_prop)*Temps_fin_propu)+1)^2)  /  (((1+1)^2)*EXP(2*SQRT(a_prop*b_prop)*Temps_fin_propu)))</f>
        <v>1991.1236899685493</v>
      </c>
      <c r="K41" s="410">
        <f t="shared" ref="K41:K67" ca="1" si="8">SQRT(a_prop/b_prop)  *  (EXP(2*SQRT(a_prop*b_prop)*Temps_fin_propu)-1)/(EXP(2*SQRT(a_prop*b_prop)*Temps_fin_propu)+1)</f>
        <v>793.5341125462329</v>
      </c>
      <c r="L41" s="413">
        <f t="shared" ref="L41:L67" ca="1" si="9">alt_prop + 1/(2*b_bal) * LN(1+b_bal/g*V_prop^2)</f>
        <v>3706.6765556662222</v>
      </c>
      <c r="M41" s="416">
        <f t="shared" ref="M41:M67" ca="1" si="10">Temps_fin_propu + ATAN(SQRT(b_bal/g)*V_prop)/SQRT(b_bal*g)</f>
        <v>16.576277929342474</v>
      </c>
    </row>
    <row r="42" spans="1:13" x14ac:dyDescent="0.2">
      <c r="B42" s="426">
        <f t="shared" ca="1" si="0"/>
        <v>54</v>
      </c>
      <c r="C42" s="404">
        <f t="shared" ca="1" si="1"/>
        <v>8.4165623384160752E-4</v>
      </c>
      <c r="D42" s="401">
        <f ca="1">MpropuPlein+0.25*MasseSans</f>
        <v>3.06</v>
      </c>
      <c r="E42" s="401">
        <f t="shared" ca="1" si="2"/>
        <v>2.5434999999999999</v>
      </c>
      <c r="F42" s="401">
        <f t="shared" ca="1" si="3"/>
        <v>2.0270000000000001</v>
      </c>
      <c r="G42" s="408">
        <f t="shared" ca="1" si="4"/>
        <v>215.61249537709591</v>
      </c>
      <c r="H42" s="404">
        <f t="shared" ca="1" si="5"/>
        <v>3.3090475087147928E-4</v>
      </c>
      <c r="I42" s="404">
        <f t="shared" ca="1" si="6"/>
        <v>4.1522261166334853E-4</v>
      </c>
      <c r="J42" s="404">
        <f t="shared" ca="1" si="7"/>
        <v>1217.4417364088181</v>
      </c>
      <c r="K42" s="411">
        <f t="shared" ca="1" si="8"/>
        <v>600.39750041714365</v>
      </c>
      <c r="L42" s="414">
        <f t="shared" ca="1" si="9"/>
        <v>4575.3610882699868</v>
      </c>
      <c r="M42" s="417">
        <f t="shared" ca="1" si="10"/>
        <v>24.274971916894089</v>
      </c>
    </row>
    <row r="43" spans="1:13" x14ac:dyDescent="0.2">
      <c r="B43" s="426">
        <f t="shared" ca="1" si="0"/>
        <v>54</v>
      </c>
      <c r="C43" s="404">
        <f t="shared" ca="1" si="1"/>
        <v>8.4165623384160752E-4</v>
      </c>
      <c r="D43" s="401">
        <f ca="1">MpropuPlein+0.5*MasseSans</f>
        <v>4.4350000000000005</v>
      </c>
      <c r="E43" s="401">
        <f t="shared" ca="1" si="2"/>
        <v>3.9185000000000008</v>
      </c>
      <c r="F43" s="401">
        <f t="shared" ca="1" si="3"/>
        <v>3.4020000000000006</v>
      </c>
      <c r="G43" s="408">
        <f t="shared" ca="1" si="4"/>
        <v>136.51183667006339</v>
      </c>
      <c r="H43" s="404">
        <f t="shared" ca="1" si="5"/>
        <v>2.1479041312788243E-4</v>
      </c>
      <c r="I43" s="404">
        <f t="shared" ca="1" si="6"/>
        <v>2.474004214701962E-4</v>
      </c>
      <c r="J43" s="404">
        <f t="shared" ca="1" si="7"/>
        <v>829.29615314982152</v>
      </c>
      <c r="K43" s="411">
        <f t="shared" ca="1" si="8"/>
        <v>436.43817898574616</v>
      </c>
      <c r="L43" s="414">
        <f t="shared" ca="1" si="9"/>
        <v>4383.2464256851526</v>
      </c>
      <c r="M43" s="417">
        <f t="shared" ca="1" si="10"/>
        <v>26.786172471475229</v>
      </c>
    </row>
    <row r="44" spans="1:13" x14ac:dyDescent="0.2">
      <c r="B44" s="426">
        <f t="shared" ca="1" si="0"/>
        <v>54</v>
      </c>
      <c r="C44" s="404">
        <f t="shared" ca="1" si="1"/>
        <v>8.4165623384160752E-4</v>
      </c>
      <c r="D44" s="401">
        <f ca="1">MpropuPlein+0.75*MasseSans</f>
        <v>5.8100000000000005</v>
      </c>
      <c r="E44" s="401">
        <f t="shared" ca="1" si="2"/>
        <v>5.2935000000000008</v>
      </c>
      <c r="F44" s="401">
        <f t="shared" ca="1" si="3"/>
        <v>4.777000000000001</v>
      </c>
      <c r="G44" s="408">
        <f t="shared" ca="1" si="4"/>
        <v>98.504369886019333</v>
      </c>
      <c r="H44" s="404">
        <f t="shared" ca="1" si="5"/>
        <v>1.5899806061048596E-4</v>
      </c>
      <c r="I44" s="404">
        <f t="shared" ca="1" si="6"/>
        <v>1.7618928906041603E-4</v>
      </c>
      <c r="J44" s="404">
        <f t="shared" ca="1" si="7"/>
        <v>614.49546104970659</v>
      </c>
      <c r="K44" s="411">
        <f t="shared" ca="1" si="8"/>
        <v>331.61288192950559</v>
      </c>
      <c r="L44" s="414">
        <f t="shared" ca="1" si="9"/>
        <v>3708.4789097203429</v>
      </c>
      <c r="M44" s="417">
        <f t="shared" ca="1" si="10"/>
        <v>26.497266120144026</v>
      </c>
    </row>
    <row r="45" spans="1:13" x14ac:dyDescent="0.2">
      <c r="B45" s="426">
        <f t="shared" ca="1" si="0"/>
        <v>54</v>
      </c>
      <c r="C45" s="404">
        <f t="shared" ca="1" si="1"/>
        <v>8.4165623384160752E-4</v>
      </c>
      <c r="D45" s="401">
        <f ca="1">MpropuPlein+1*MasseSans</f>
        <v>7.1850000000000005</v>
      </c>
      <c r="E45" s="401">
        <f t="shared" ca="1" si="2"/>
        <v>6.6685000000000008</v>
      </c>
      <c r="F45" s="401">
        <f t="shared" ca="1" si="3"/>
        <v>6.152000000000001</v>
      </c>
      <c r="G45" s="408">
        <f t="shared" ca="1" si="4"/>
        <v>76.170672863708987</v>
      </c>
      <c r="H45" s="404">
        <f t="shared" ca="1" si="5"/>
        <v>1.2621372630150819E-4</v>
      </c>
      <c r="I45" s="404">
        <f t="shared" ca="1" si="6"/>
        <v>1.3681018105357728E-4</v>
      </c>
      <c r="J45" s="404">
        <f t="shared" ca="1" si="7"/>
        <v>481.03414209900831</v>
      </c>
      <c r="K45" s="411">
        <f t="shared" ca="1" si="8"/>
        <v>262.69181889817185</v>
      </c>
      <c r="L45" s="414">
        <f t="shared" ca="1" si="9"/>
        <v>2944.8617824731646</v>
      </c>
      <c r="M45" s="417">
        <f t="shared" ca="1" si="10"/>
        <v>24.766862636557711</v>
      </c>
    </row>
    <row r="46" spans="1:13" x14ac:dyDescent="0.2">
      <c r="B46" s="426">
        <f t="shared" ca="1" si="0"/>
        <v>54</v>
      </c>
      <c r="C46" s="404">
        <f t="shared" ca="1" si="1"/>
        <v>8.4165623384160752E-4</v>
      </c>
      <c r="D46" s="401">
        <f ca="1">MpropuPlein+1.25*MasseSans</f>
        <v>8.56</v>
      </c>
      <c r="E46" s="401">
        <f t="shared" ca="1" si="2"/>
        <v>8.0434999999999999</v>
      </c>
      <c r="F46" s="401">
        <f t="shared" ca="1" si="3"/>
        <v>7.527000000000001</v>
      </c>
      <c r="G46" s="408">
        <f t="shared" ca="1" si="4"/>
        <v>61.472665132298559</v>
      </c>
      <c r="H46" s="404">
        <f t="shared" ca="1" si="5"/>
        <v>1.0463805978014639E-4</v>
      </c>
      <c r="I46" s="404">
        <f t="shared" ca="1" si="6"/>
        <v>1.1181828535161517E-4</v>
      </c>
      <c r="J46" s="404">
        <f t="shared" ca="1" si="7"/>
        <v>390.77764733534434</v>
      </c>
      <c r="K46" s="411">
        <f t="shared" ca="1" si="8"/>
        <v>214.78412913949123</v>
      </c>
      <c r="L46" s="414">
        <f t="shared" ca="1" si="9"/>
        <v>2280.1858640293472</v>
      </c>
      <c r="M46" s="417">
        <f t="shared" ca="1" si="10"/>
        <v>22.533283398060135</v>
      </c>
    </row>
    <row r="47" spans="1:13" x14ac:dyDescent="0.2">
      <c r="B47" s="426">
        <f t="shared" ca="1" si="0"/>
        <v>54</v>
      </c>
      <c r="C47" s="404">
        <f t="shared" ca="1" si="1"/>
        <v>8.4165623384160752E-4</v>
      </c>
      <c r="D47" s="401">
        <f ca="1">MpropuPlein+1.5*MasseSans</f>
        <v>9.9350000000000005</v>
      </c>
      <c r="E47" s="401">
        <f t="shared" ca="1" si="2"/>
        <v>9.4184999999999999</v>
      </c>
      <c r="F47" s="401">
        <f t="shared" ca="1" si="3"/>
        <v>8.902000000000001</v>
      </c>
      <c r="G47" s="408">
        <f t="shared" ca="1" si="4"/>
        <v>51.066160428055788</v>
      </c>
      <c r="H47" s="404">
        <f t="shared" ca="1" si="5"/>
        <v>8.9362025146425391E-5</v>
      </c>
      <c r="I47" s="404">
        <f t="shared" ca="1" si="6"/>
        <v>9.4546869674411085E-5</v>
      </c>
      <c r="J47" s="404">
        <f t="shared" ca="1" si="7"/>
        <v>325.89695371527961</v>
      </c>
      <c r="K47" s="411">
        <f t="shared" ca="1" si="8"/>
        <v>179.81607222024107</v>
      </c>
      <c r="L47" s="414">
        <f t="shared" ca="1" si="9"/>
        <v>1760.4679621811422</v>
      </c>
      <c r="M47" s="417">
        <f t="shared" ca="1" si="10"/>
        <v>20.307937814250547</v>
      </c>
    </row>
    <row r="48" spans="1:13" x14ac:dyDescent="0.2">
      <c r="B48" s="426">
        <f t="shared" ca="1" si="0"/>
        <v>54</v>
      </c>
      <c r="C48" s="404">
        <f t="shared" ca="1" si="1"/>
        <v>8.4165623384160752E-4</v>
      </c>
      <c r="D48" s="401">
        <f ca="1">MpropuPlein+1.75*MasseSans</f>
        <v>11.31</v>
      </c>
      <c r="E48" s="401">
        <f t="shared" ca="1" si="2"/>
        <v>10.7935</v>
      </c>
      <c r="F48" s="401">
        <f t="shared" ca="1" si="3"/>
        <v>10.277000000000001</v>
      </c>
      <c r="G48" s="408">
        <f t="shared" ca="1" si="4"/>
        <v>43.311055912506923</v>
      </c>
      <c r="H48" s="404">
        <f t="shared" ca="1" si="5"/>
        <v>7.7978064005337249E-5</v>
      </c>
      <c r="I48" s="404">
        <f t="shared" ca="1" si="6"/>
        <v>8.1897074422653253E-5</v>
      </c>
      <c r="J48" s="404">
        <f t="shared" ca="1" si="7"/>
        <v>277.09707781300284</v>
      </c>
      <c r="K48" s="411">
        <f t="shared" ca="1" si="8"/>
        <v>153.26932539120537</v>
      </c>
      <c r="L48" s="414">
        <f t="shared" ca="1" si="9"/>
        <v>1370.4111622132723</v>
      </c>
      <c r="M48" s="417">
        <f t="shared" ca="1" si="10"/>
        <v>18.297994041561687</v>
      </c>
    </row>
    <row r="49" spans="2:13" x14ac:dyDescent="0.2">
      <c r="B49" s="427">
        <f t="shared" ca="1" si="0"/>
        <v>54</v>
      </c>
      <c r="C49" s="405">
        <f t="shared" ca="1" si="1"/>
        <v>8.4165623384160752E-4</v>
      </c>
      <c r="D49" s="402">
        <f ca="1">MpropuPlein+2*MasseSans</f>
        <v>12.685</v>
      </c>
      <c r="E49" s="402">
        <f t="shared" ca="1" si="2"/>
        <v>12.1685</v>
      </c>
      <c r="F49" s="402">
        <f t="shared" ca="1" si="3"/>
        <v>11.652000000000001</v>
      </c>
      <c r="G49" s="409">
        <f t="shared" ca="1" si="4"/>
        <v>37.308553395376869</v>
      </c>
      <c r="H49" s="405">
        <f t="shared" ca="1" si="5"/>
        <v>6.9166802304442414E-5</v>
      </c>
      <c r="I49" s="405">
        <f t="shared" ca="1" si="6"/>
        <v>7.2232769811329166E-5</v>
      </c>
      <c r="J49" s="405">
        <f t="shared" ca="1" si="7"/>
        <v>239.09724975085604</v>
      </c>
      <c r="K49" s="412">
        <f t="shared" ca="1" si="8"/>
        <v>132.47236768014622</v>
      </c>
      <c r="L49" s="415">
        <f t="shared" ca="1" si="9"/>
        <v>1080.29074394943</v>
      </c>
      <c r="M49" s="418">
        <f t="shared" ca="1" si="10"/>
        <v>16.55348395833153</v>
      </c>
    </row>
    <row r="50" spans="2:13" x14ac:dyDescent="0.2">
      <c r="B50" s="425">
        <f t="shared" ref="B50:B58" si="11">D_ref</f>
        <v>84</v>
      </c>
      <c r="C50" s="403">
        <f t="shared" si="1"/>
        <v>2.0366002695426551E-3</v>
      </c>
      <c r="D50" s="400">
        <f ca="1">MpropuPlein+0*MasseSans</f>
        <v>1.6850000000000001</v>
      </c>
      <c r="E50" s="400">
        <f t="shared" ca="1" si="2"/>
        <v>1.1685000000000001</v>
      </c>
      <c r="F50" s="400">
        <f t="shared" ca="1" si="3"/>
        <v>0.65200000000000014</v>
      </c>
      <c r="G50" s="407">
        <f t="shared" ca="1" si="4"/>
        <v>480.87217115245477</v>
      </c>
      <c r="H50" s="403">
        <f t="shared" ca="1" si="5"/>
        <v>1.7429185019620496E-3</v>
      </c>
      <c r="I50" s="403">
        <f t="shared" ca="1" si="6"/>
        <v>3.1236200453108199E-3</v>
      </c>
      <c r="J50" s="403">
        <f t="shared" ca="1" si="7"/>
        <v>1488.7996224011551</v>
      </c>
      <c r="K50" s="410">
        <f t="shared" ca="1" si="8"/>
        <v>523.7965134225243</v>
      </c>
      <c r="L50" s="413">
        <f t="shared" ca="1" si="9"/>
        <v>2206.1441384384134</v>
      </c>
      <c r="M50" s="416">
        <f t="shared" ca="1" si="10"/>
        <v>11.954506441744767</v>
      </c>
    </row>
    <row r="51" spans="2:13" x14ac:dyDescent="0.2">
      <c r="B51" s="426">
        <f t="shared" si="11"/>
        <v>84</v>
      </c>
      <c r="C51" s="404">
        <f t="shared" si="1"/>
        <v>2.0366002695426551E-3</v>
      </c>
      <c r="D51" s="401">
        <f ca="1">MpropuPlein+0.25*MasseSans</f>
        <v>3.06</v>
      </c>
      <c r="E51" s="401">
        <f t="shared" ca="1" si="2"/>
        <v>2.5434999999999999</v>
      </c>
      <c r="F51" s="401">
        <f t="shared" ca="1" si="3"/>
        <v>2.0270000000000001</v>
      </c>
      <c r="G51" s="408">
        <f t="shared" ca="1" si="4"/>
        <v>215.61249537709591</v>
      </c>
      <c r="H51" s="404">
        <f t="shared" ca="1" si="5"/>
        <v>8.0070779223222145E-4</v>
      </c>
      <c r="I51" s="404">
        <f t="shared" ca="1" si="6"/>
        <v>1.0047361961236581E-3</v>
      </c>
      <c r="J51" s="404">
        <f t="shared" ca="1" si="7"/>
        <v>1058.9296102829073</v>
      </c>
      <c r="K51" s="411">
        <f t="shared" ca="1" si="8"/>
        <v>468.91056956028405</v>
      </c>
      <c r="L51" s="414">
        <f t="shared" ca="1" si="9"/>
        <v>2630.4065054304597</v>
      </c>
      <c r="M51" s="417">
        <f t="shared" ca="1" si="10"/>
        <v>17.319982246971264</v>
      </c>
    </row>
    <row r="52" spans="2:13" x14ac:dyDescent="0.2">
      <c r="B52" s="426">
        <f t="shared" si="11"/>
        <v>84</v>
      </c>
      <c r="C52" s="404">
        <f t="shared" si="1"/>
        <v>2.0366002695426551E-3</v>
      </c>
      <c r="D52" s="401">
        <f ca="1">MpropuPlein+0.5*MasseSans</f>
        <v>4.4350000000000005</v>
      </c>
      <c r="E52" s="401">
        <f t="shared" ca="1" si="2"/>
        <v>3.9185000000000008</v>
      </c>
      <c r="F52" s="401">
        <f t="shared" ca="1" si="3"/>
        <v>3.4020000000000006</v>
      </c>
      <c r="G52" s="408">
        <f t="shared" ca="1" si="4"/>
        <v>136.51183667006339</v>
      </c>
      <c r="H52" s="404">
        <f t="shared" ca="1" si="5"/>
        <v>5.1973976509956733E-4</v>
      </c>
      <c r="I52" s="404">
        <f t="shared" ca="1" si="6"/>
        <v>5.9864793343405488E-4</v>
      </c>
      <c r="J52" s="404">
        <f t="shared" ca="1" si="7"/>
        <v>771.29730773668393</v>
      </c>
      <c r="K52" s="411">
        <f t="shared" ca="1" si="8"/>
        <v>380.58133522874414</v>
      </c>
      <c r="L52" s="414">
        <f t="shared" ca="1" si="9"/>
        <v>2680.8857295341168</v>
      </c>
      <c r="M52" s="417">
        <f t="shared" ca="1" si="10"/>
        <v>19.853407428809657</v>
      </c>
    </row>
    <row r="53" spans="2:13" x14ac:dyDescent="0.2">
      <c r="B53" s="426">
        <f t="shared" si="11"/>
        <v>84</v>
      </c>
      <c r="C53" s="404">
        <f t="shared" si="1"/>
        <v>2.0366002695426551E-3</v>
      </c>
      <c r="D53" s="401">
        <f ca="1">MpropuPlein+0.75*MasseSans</f>
        <v>5.8100000000000005</v>
      </c>
      <c r="E53" s="401">
        <f t="shared" ca="1" si="2"/>
        <v>5.2935000000000008</v>
      </c>
      <c r="F53" s="401">
        <f t="shared" ca="1" si="3"/>
        <v>4.777000000000001</v>
      </c>
      <c r="G53" s="408">
        <f t="shared" ca="1" si="4"/>
        <v>98.504369886019333</v>
      </c>
      <c r="H53" s="404">
        <f t="shared" ca="1" si="5"/>
        <v>3.8473604789697832E-4</v>
      </c>
      <c r="I53" s="404">
        <f t="shared" ca="1" si="6"/>
        <v>4.263345759980437E-4</v>
      </c>
      <c r="J53" s="404">
        <f t="shared" ca="1" si="7"/>
        <v>588.96152906742952</v>
      </c>
      <c r="K53" s="411">
        <f t="shared" ca="1" si="8"/>
        <v>305.44770282135431</v>
      </c>
      <c r="L53" s="414">
        <f t="shared" ca="1" si="9"/>
        <v>2489.24386397035</v>
      </c>
      <c r="M53" s="417">
        <f t="shared" ca="1" si="10"/>
        <v>20.751595435820622</v>
      </c>
    </row>
    <row r="54" spans="2:13" x14ac:dyDescent="0.2">
      <c r="B54" s="426">
        <f t="shared" si="11"/>
        <v>84</v>
      </c>
      <c r="C54" s="404">
        <f t="shared" si="1"/>
        <v>2.0366002695426551E-3</v>
      </c>
      <c r="D54" s="401">
        <f ca="1">MpropuPlein+1*MasseSans</f>
        <v>7.1850000000000005</v>
      </c>
      <c r="E54" s="401">
        <f t="shared" ca="1" si="2"/>
        <v>6.6685000000000008</v>
      </c>
      <c r="F54" s="401">
        <f t="shared" ca="1" si="3"/>
        <v>6.152000000000001</v>
      </c>
      <c r="G54" s="408">
        <f t="shared" ca="1" si="4"/>
        <v>76.170672863708987</v>
      </c>
      <c r="H54" s="404">
        <f t="shared" ca="1" si="5"/>
        <v>3.054060537666124E-4</v>
      </c>
      <c r="I54" s="404">
        <f t="shared" ca="1" si="6"/>
        <v>3.3104685785803882E-4</v>
      </c>
      <c r="J54" s="404">
        <f t="shared" ca="1" si="7"/>
        <v>468.11857804847978</v>
      </c>
      <c r="K54" s="411">
        <f t="shared" ca="1" si="8"/>
        <v>249.04700740283624</v>
      </c>
      <c r="L54" s="414">
        <f t="shared" ca="1" si="9"/>
        <v>2173.5616424785485</v>
      </c>
      <c r="M54" s="417">
        <f t="shared" ca="1" si="10"/>
        <v>20.541025963694935</v>
      </c>
    </row>
    <row r="55" spans="2:13" x14ac:dyDescent="0.2">
      <c r="B55" s="426">
        <f t="shared" si="11"/>
        <v>84</v>
      </c>
      <c r="C55" s="404">
        <f t="shared" si="1"/>
        <v>2.0366002695426551E-3</v>
      </c>
      <c r="D55" s="401">
        <f ca="1">MpropuPlein+1.25*MasseSans</f>
        <v>8.56</v>
      </c>
      <c r="E55" s="401">
        <f t="shared" ca="1" si="2"/>
        <v>8.0434999999999999</v>
      </c>
      <c r="F55" s="401">
        <f t="shared" ca="1" si="3"/>
        <v>7.527000000000001</v>
      </c>
      <c r="G55" s="408">
        <f t="shared" ca="1" si="4"/>
        <v>61.472665132298559</v>
      </c>
      <c r="H55" s="404">
        <f t="shared" ca="1" si="5"/>
        <v>2.5319826810998386E-4</v>
      </c>
      <c r="I55" s="404">
        <f t="shared" ca="1" si="6"/>
        <v>2.7057264109773546E-4</v>
      </c>
      <c r="J55" s="404">
        <f t="shared" ca="1" si="7"/>
        <v>383.55681596415417</v>
      </c>
      <c r="K55" s="411">
        <f t="shared" ca="1" si="8"/>
        <v>207.02540700486978</v>
      </c>
      <c r="L55" s="414">
        <f t="shared" ca="1" si="9"/>
        <v>1825.49423774466</v>
      </c>
      <c r="M55" s="417">
        <f t="shared" ca="1" si="10"/>
        <v>19.645435650140325</v>
      </c>
    </row>
    <row r="56" spans="2:13" x14ac:dyDescent="0.2">
      <c r="B56" s="426">
        <f t="shared" si="11"/>
        <v>84</v>
      </c>
      <c r="C56" s="404">
        <f t="shared" si="1"/>
        <v>2.0366002695426551E-3</v>
      </c>
      <c r="D56" s="401">
        <f ca="1">MpropuPlein+1.5*MasseSans</f>
        <v>9.9350000000000005</v>
      </c>
      <c r="E56" s="401">
        <f t="shared" ca="1" si="2"/>
        <v>9.4184999999999999</v>
      </c>
      <c r="F56" s="401">
        <f t="shared" ca="1" si="3"/>
        <v>8.902000000000001</v>
      </c>
      <c r="G56" s="408">
        <f t="shared" ca="1" si="4"/>
        <v>51.066160428055788</v>
      </c>
      <c r="H56" s="404">
        <f t="shared" ca="1" si="5"/>
        <v>2.1623403615678242E-4</v>
      </c>
      <c r="I56" s="404">
        <f t="shared" ca="1" si="6"/>
        <v>2.2878007970598234E-4</v>
      </c>
      <c r="J56" s="404">
        <f t="shared" ca="1" si="7"/>
        <v>321.55161541605167</v>
      </c>
      <c r="K56" s="411">
        <f t="shared" ca="1" si="8"/>
        <v>175.09895346701828</v>
      </c>
      <c r="L56" s="414">
        <f t="shared" ca="1" si="9"/>
        <v>1500.4631039113558</v>
      </c>
      <c r="M56" s="417">
        <f t="shared" ca="1" si="10"/>
        <v>18.406578659059306</v>
      </c>
    </row>
    <row r="57" spans="2:13" x14ac:dyDescent="0.2">
      <c r="B57" s="426">
        <f t="shared" si="11"/>
        <v>84</v>
      </c>
      <c r="C57" s="404">
        <f t="shared" si="1"/>
        <v>2.0366002695426551E-3</v>
      </c>
      <c r="D57" s="401">
        <f ca="1">MpropuPlein+1.75*MasseSans</f>
        <v>11.31</v>
      </c>
      <c r="E57" s="401">
        <f t="shared" ca="1" si="2"/>
        <v>10.7935</v>
      </c>
      <c r="F57" s="401">
        <f t="shared" ca="1" si="3"/>
        <v>10.277000000000001</v>
      </c>
      <c r="G57" s="408">
        <f t="shared" ca="1" si="4"/>
        <v>43.311055912506923</v>
      </c>
      <c r="H57" s="404">
        <f t="shared" ca="1" si="5"/>
        <v>1.8868766104995183E-4</v>
      </c>
      <c r="I57" s="404">
        <f t="shared" ca="1" si="6"/>
        <v>1.9817069860296341E-4</v>
      </c>
      <c r="J57" s="404">
        <f t="shared" ca="1" si="7"/>
        <v>274.33262104444447</v>
      </c>
      <c r="K57" s="411">
        <f t="shared" ca="1" si="8"/>
        <v>150.24839497944615</v>
      </c>
      <c r="L57" s="414">
        <f t="shared" ca="1" si="9"/>
        <v>1222.280976172716</v>
      </c>
      <c r="M57" s="417">
        <f t="shared" ca="1" si="10"/>
        <v>17.060959645738919</v>
      </c>
    </row>
    <row r="58" spans="2:13" x14ac:dyDescent="0.2">
      <c r="B58" s="427">
        <f t="shared" si="11"/>
        <v>84</v>
      </c>
      <c r="C58" s="405">
        <f t="shared" si="1"/>
        <v>2.0366002695426551E-3</v>
      </c>
      <c r="D58" s="402">
        <f ca="1">MpropuPlein+2*MasseSans</f>
        <v>12.685</v>
      </c>
      <c r="E58" s="402">
        <f t="shared" ca="1" si="2"/>
        <v>12.1685</v>
      </c>
      <c r="F58" s="402">
        <f t="shared" ca="1" si="3"/>
        <v>11.652000000000001</v>
      </c>
      <c r="G58" s="409">
        <f t="shared" ca="1" si="4"/>
        <v>37.308553395376869</v>
      </c>
      <c r="H58" s="405">
        <f t="shared" ca="1" si="5"/>
        <v>1.6736658335395941E-4</v>
      </c>
      <c r="I58" s="405">
        <f t="shared" ca="1" si="6"/>
        <v>1.747854676916113E-4</v>
      </c>
      <c r="J58" s="405">
        <f t="shared" ca="1" si="7"/>
        <v>237.26109101122711</v>
      </c>
      <c r="K58" s="412">
        <f t="shared" ca="1" si="8"/>
        <v>130.45679481919603</v>
      </c>
      <c r="L58" s="415">
        <f t="shared" ca="1" si="9"/>
        <v>994.88840526865658</v>
      </c>
      <c r="M58" s="418">
        <f t="shared" ca="1" si="10"/>
        <v>15.745808296070004</v>
      </c>
    </row>
    <row r="59" spans="2:13" x14ac:dyDescent="0.2">
      <c r="B59" s="425">
        <f t="shared" ref="B59:B67" si="12">D_ref*1.5</f>
        <v>126</v>
      </c>
      <c r="C59" s="403">
        <f t="shared" si="1"/>
        <v>4.5823506064709748E-3</v>
      </c>
      <c r="D59" s="400">
        <f ca="1">MpropuPlein+0*MasseSans</f>
        <v>1.6850000000000001</v>
      </c>
      <c r="E59" s="400">
        <f t="shared" ca="1" si="2"/>
        <v>1.1685000000000001</v>
      </c>
      <c r="F59" s="400">
        <f t="shared" ca="1" si="3"/>
        <v>0.65200000000000014</v>
      </c>
      <c r="G59" s="407">
        <f t="shared" ca="1" si="4"/>
        <v>480.87217115245477</v>
      </c>
      <c r="H59" s="403">
        <f t="shared" ca="1" si="5"/>
        <v>3.921566629414612E-3</v>
      </c>
      <c r="I59" s="403">
        <f t="shared" ca="1" si="6"/>
        <v>7.0281451019493461E-3</v>
      </c>
      <c r="J59" s="403">
        <f t="shared" ca="1" si="7"/>
        <v>1080.3886169797665</v>
      </c>
      <c r="K59" s="410">
        <f t="shared" ca="1" si="8"/>
        <v>350.13832937528468</v>
      </c>
      <c r="L59" s="413">
        <f t="shared" ca="1" si="9"/>
        <v>1399.5868475921286</v>
      </c>
      <c r="M59" s="416">
        <f t="shared" ca="1" si="10"/>
        <v>9.167419929200058</v>
      </c>
    </row>
    <row r="60" spans="2:13" x14ac:dyDescent="0.2">
      <c r="B60" s="426">
        <f t="shared" si="12"/>
        <v>126</v>
      </c>
      <c r="C60" s="404">
        <f t="shared" si="1"/>
        <v>4.5823506064709748E-3</v>
      </c>
      <c r="D60" s="401">
        <f ca="1">MpropuPlein+0.25*MasseSans</f>
        <v>3.06</v>
      </c>
      <c r="E60" s="401">
        <f t="shared" ca="1" si="2"/>
        <v>2.5434999999999999</v>
      </c>
      <c r="F60" s="401">
        <f t="shared" ca="1" si="3"/>
        <v>2.0270000000000001</v>
      </c>
      <c r="G60" s="408">
        <f t="shared" ca="1" si="4"/>
        <v>215.61249537709591</v>
      </c>
      <c r="H60" s="404">
        <f t="shared" ca="1" si="5"/>
        <v>1.8015925325224986E-3</v>
      </c>
      <c r="I60" s="404">
        <f t="shared" ca="1" si="6"/>
        <v>2.2606564412782312E-3</v>
      </c>
      <c r="J60" s="404">
        <f t="shared" ca="1" si="7"/>
        <v>863.4925951667725</v>
      </c>
      <c r="K60" s="411">
        <f t="shared" ca="1" si="8"/>
        <v>338.1539666185422</v>
      </c>
      <c r="L60" s="414">
        <f t="shared" ca="1" si="9"/>
        <v>1595.3037917204506</v>
      </c>
      <c r="M60" s="417">
        <f t="shared" ca="1" si="10"/>
        <v>12.846001290237918</v>
      </c>
    </row>
    <row r="61" spans="2:13" x14ac:dyDescent="0.2">
      <c r="B61" s="426">
        <f t="shared" si="12"/>
        <v>126</v>
      </c>
      <c r="C61" s="404">
        <f t="shared" si="1"/>
        <v>4.5823506064709748E-3</v>
      </c>
      <c r="D61" s="401">
        <f ca="1">MpropuPlein+0.5*MasseSans</f>
        <v>4.4350000000000005</v>
      </c>
      <c r="E61" s="401">
        <f t="shared" ca="1" si="2"/>
        <v>3.9185000000000008</v>
      </c>
      <c r="F61" s="401">
        <f t="shared" ca="1" si="3"/>
        <v>3.4020000000000006</v>
      </c>
      <c r="G61" s="408">
        <f t="shared" ca="1" si="4"/>
        <v>136.51183667006339</v>
      </c>
      <c r="H61" s="404">
        <f t="shared" ca="1" si="5"/>
        <v>1.1694144714740268E-3</v>
      </c>
      <c r="I61" s="404">
        <f t="shared" ca="1" si="6"/>
        <v>1.3469578502266237E-3</v>
      </c>
      <c r="J61" s="404">
        <f t="shared" ca="1" si="7"/>
        <v>681.06569907168182</v>
      </c>
      <c r="K61" s="411">
        <f t="shared" ca="1" si="8"/>
        <v>304.95696481778185</v>
      </c>
      <c r="L61" s="414">
        <f t="shared" ca="1" si="9"/>
        <v>1654.5300298511393</v>
      </c>
      <c r="M61" s="417">
        <f t="shared" ca="1" si="10"/>
        <v>14.881195866231442</v>
      </c>
    </row>
    <row r="62" spans="2:13" x14ac:dyDescent="0.2">
      <c r="B62" s="426">
        <f t="shared" si="12"/>
        <v>126</v>
      </c>
      <c r="C62" s="404">
        <f t="shared" si="1"/>
        <v>4.5823506064709748E-3</v>
      </c>
      <c r="D62" s="401">
        <f ca="1">MpropuPlein+0.75*MasseSans</f>
        <v>5.8100000000000005</v>
      </c>
      <c r="E62" s="401">
        <f t="shared" ca="1" si="2"/>
        <v>5.2935000000000008</v>
      </c>
      <c r="F62" s="401">
        <f t="shared" ca="1" si="3"/>
        <v>4.777000000000001</v>
      </c>
      <c r="G62" s="408">
        <f t="shared" ca="1" si="4"/>
        <v>98.504369886019333</v>
      </c>
      <c r="H62" s="404">
        <f t="shared" ca="1" si="5"/>
        <v>8.6565610776820139E-4</v>
      </c>
      <c r="I62" s="404">
        <f t="shared" ca="1" si="6"/>
        <v>9.5925279599559849E-4</v>
      </c>
      <c r="J62" s="404">
        <f t="shared" ca="1" si="7"/>
        <v>544.16688660224156</v>
      </c>
      <c r="K62" s="411">
        <f t="shared" ca="1" si="8"/>
        <v>263.50649837531955</v>
      </c>
      <c r="L62" s="414">
        <f t="shared" ca="1" si="9"/>
        <v>1614.163560524888</v>
      </c>
      <c r="M62" s="417">
        <f t="shared" ca="1" si="10"/>
        <v>16.005191265115911</v>
      </c>
    </row>
    <row r="63" spans="2:13" x14ac:dyDescent="0.2">
      <c r="B63" s="426">
        <f t="shared" si="12"/>
        <v>126</v>
      </c>
      <c r="C63" s="404">
        <f t="shared" si="1"/>
        <v>4.5823506064709748E-3</v>
      </c>
      <c r="D63" s="401">
        <f ca="1">MpropuPlein+1*MasseSans</f>
        <v>7.1850000000000005</v>
      </c>
      <c r="E63" s="401">
        <f t="shared" ca="1" si="2"/>
        <v>6.6685000000000008</v>
      </c>
      <c r="F63" s="401">
        <f t="shared" ca="1" si="3"/>
        <v>6.152000000000001</v>
      </c>
      <c r="G63" s="408">
        <f t="shared" ca="1" si="4"/>
        <v>76.170672863708987</v>
      </c>
      <c r="H63" s="404">
        <f t="shared" ca="1" si="5"/>
        <v>6.8716362097487804E-4</v>
      </c>
      <c r="I63" s="404">
        <f t="shared" ca="1" si="6"/>
        <v>7.4485543018058744E-4</v>
      </c>
      <c r="J63" s="404">
        <f t="shared" ca="1" si="7"/>
        <v>443.91812569819649</v>
      </c>
      <c r="K63" s="411">
        <f t="shared" ca="1" si="8"/>
        <v>224.99769482230013</v>
      </c>
      <c r="L63" s="414">
        <f t="shared" ca="1" si="9"/>
        <v>1502.9803488210928</v>
      </c>
      <c r="M63" s="417">
        <f t="shared" ca="1" si="10"/>
        <v>16.448198046391159</v>
      </c>
    </row>
    <row r="64" spans="2:13" x14ac:dyDescent="0.2">
      <c r="B64" s="426">
        <f t="shared" si="12"/>
        <v>126</v>
      </c>
      <c r="C64" s="404">
        <f t="shared" si="1"/>
        <v>4.5823506064709748E-3</v>
      </c>
      <c r="D64" s="401">
        <f ca="1">MpropuPlein+1.25*MasseSans</f>
        <v>8.56</v>
      </c>
      <c r="E64" s="401">
        <f t="shared" ca="1" si="2"/>
        <v>8.0434999999999999</v>
      </c>
      <c r="F64" s="401">
        <f t="shared" ca="1" si="3"/>
        <v>7.527000000000001</v>
      </c>
      <c r="G64" s="408">
        <f t="shared" ca="1" si="4"/>
        <v>61.472665132298559</v>
      </c>
      <c r="H64" s="404">
        <f t="shared" ca="1" si="5"/>
        <v>5.6969610324746382E-4</v>
      </c>
      <c r="I64" s="404">
        <f t="shared" ca="1" si="6"/>
        <v>6.0878844246990487E-4</v>
      </c>
      <c r="J64" s="404">
        <f t="shared" ca="1" si="7"/>
        <v>369.49140607069728</v>
      </c>
      <c r="K64" s="411">
        <f t="shared" ca="1" si="8"/>
        <v>192.55305635583045</v>
      </c>
      <c r="L64" s="414">
        <f t="shared" ca="1" si="9"/>
        <v>1350.2885487458652</v>
      </c>
      <c r="M64" s="417">
        <f t="shared" ca="1" si="10"/>
        <v>16.37395180084733</v>
      </c>
    </row>
    <row r="65" spans="2:13" x14ac:dyDescent="0.2">
      <c r="B65" s="426">
        <f t="shared" si="12"/>
        <v>126</v>
      </c>
      <c r="C65" s="404">
        <f t="shared" si="1"/>
        <v>4.5823506064709748E-3</v>
      </c>
      <c r="D65" s="401">
        <f ca="1">MpropuPlein+1.5*MasseSans</f>
        <v>9.9350000000000005</v>
      </c>
      <c r="E65" s="401">
        <f t="shared" ca="1" si="2"/>
        <v>9.4184999999999999</v>
      </c>
      <c r="F65" s="401">
        <f t="shared" ca="1" si="3"/>
        <v>8.902000000000001</v>
      </c>
      <c r="G65" s="408">
        <f t="shared" ca="1" si="4"/>
        <v>51.066160428055788</v>
      </c>
      <c r="H65" s="404">
        <f t="shared" ca="1" si="5"/>
        <v>4.8652658135276051E-4</v>
      </c>
      <c r="I65" s="404">
        <f t="shared" ca="1" si="6"/>
        <v>5.1475517933846041E-4</v>
      </c>
      <c r="J65" s="404">
        <f t="shared" ca="1" si="7"/>
        <v>312.87853368608091</v>
      </c>
      <c r="K65" s="411">
        <f t="shared" ca="1" si="8"/>
        <v>165.9787543048632</v>
      </c>
      <c r="L65" s="414">
        <f t="shared" ca="1" si="9"/>
        <v>1181.5195730854978</v>
      </c>
      <c r="M65" s="417">
        <f t="shared" ca="1" si="10"/>
        <v>15.931490787711386</v>
      </c>
    </row>
    <row r="66" spans="2:13" x14ac:dyDescent="0.2">
      <c r="B66" s="426">
        <f t="shared" si="12"/>
        <v>126</v>
      </c>
      <c r="C66" s="404">
        <f t="shared" si="1"/>
        <v>4.5823506064709748E-3</v>
      </c>
      <c r="D66" s="401">
        <f ca="1">MpropuPlein+1.75*MasseSans</f>
        <v>11.31</v>
      </c>
      <c r="E66" s="401">
        <f t="shared" ca="1" si="2"/>
        <v>10.7935</v>
      </c>
      <c r="F66" s="401">
        <f t="shared" ca="1" si="3"/>
        <v>10.277000000000001</v>
      </c>
      <c r="G66" s="408">
        <f t="shared" ca="1" si="4"/>
        <v>43.311055912506923</v>
      </c>
      <c r="H66" s="404">
        <f t="shared" ca="1" si="5"/>
        <v>4.2454723736239168E-4</v>
      </c>
      <c r="I66" s="404">
        <f t="shared" ca="1" si="6"/>
        <v>4.4588407185666771E-4</v>
      </c>
      <c r="J66" s="404">
        <f t="shared" ca="1" si="7"/>
        <v>268.72517442762722</v>
      </c>
      <c r="K66" s="411">
        <f t="shared" ca="1" si="8"/>
        <v>144.26661311901671</v>
      </c>
      <c r="L66" s="414">
        <f t="shared" ca="1" si="9"/>
        <v>1015.2966888668682</v>
      </c>
      <c r="M66" s="417">
        <f t="shared" ca="1" si="10"/>
        <v>15.255425679520933</v>
      </c>
    </row>
    <row r="67" spans="2:13" x14ac:dyDescent="0.2">
      <c r="B67" s="427">
        <f t="shared" si="12"/>
        <v>126</v>
      </c>
      <c r="C67" s="405">
        <f t="shared" si="1"/>
        <v>4.5823506064709748E-3</v>
      </c>
      <c r="D67" s="402">
        <f ca="1">MpropuPlein+2*MasseSans</f>
        <v>12.685</v>
      </c>
      <c r="E67" s="402">
        <f t="shared" ca="1" si="2"/>
        <v>12.1685</v>
      </c>
      <c r="F67" s="402">
        <f t="shared" ca="1" si="3"/>
        <v>11.652000000000001</v>
      </c>
      <c r="G67" s="409">
        <f t="shared" ca="1" si="4"/>
        <v>37.308553395376869</v>
      </c>
      <c r="H67" s="405">
        <f t="shared" ca="1" si="5"/>
        <v>3.7657481254640875E-4</v>
      </c>
      <c r="I67" s="405">
        <f t="shared" ca="1" si="6"/>
        <v>3.9326730230612549E-4</v>
      </c>
      <c r="J67" s="405">
        <f t="shared" ca="1" si="7"/>
        <v>233.49487072845423</v>
      </c>
      <c r="K67" s="412">
        <f t="shared" ca="1" si="8"/>
        <v>126.39917118949968</v>
      </c>
      <c r="L67" s="415">
        <f t="shared" ca="1" si="9"/>
        <v>862.82563071536799</v>
      </c>
      <c r="M67" s="418">
        <f t="shared" ca="1" si="10"/>
        <v>14.456181215450227</v>
      </c>
    </row>
    <row r="71" spans="2:13" x14ac:dyDescent="0.2">
      <c r="B71" s="24" t="str">
        <f>IF(Lang="Français","Textes pour les graphiques :","Texts for graphics :")</f>
        <v>Textes pour les graphiques :</v>
      </c>
    </row>
    <row r="73" spans="2:13" x14ac:dyDescent="0.2">
      <c r="B73" t="str">
        <f>IF(Lang="Français","Masse totale",IF(Lang="English","Total Mass",""))</f>
        <v>Masse totale</v>
      </c>
    </row>
    <row r="74" spans="2:13" x14ac:dyDescent="0.2">
      <c r="B74" t="str">
        <f>IF(Lang="Français","Vitesse max",IF(Lang="English","Max Velocity",""))</f>
        <v>Vitesse max</v>
      </c>
    </row>
    <row r="75" spans="2:13" x14ac:dyDescent="0.2">
      <c r="B75" t="str">
        <f>Abaco!$B$74 &amp; " / " &amp; Abaco!$B$73</f>
        <v>Vitesse max / Masse totale</v>
      </c>
    </row>
    <row r="76" spans="2:13" x14ac:dyDescent="0.2">
      <c r="B76" t="str">
        <f>IF(Lang="Français","Altitude max",IF(Lang="English","Max Altitude",""))</f>
        <v>Altitude max</v>
      </c>
    </row>
    <row r="77" spans="2:13" x14ac:dyDescent="0.2">
      <c r="B77" t="str">
        <f>Abaco!$B$76 &amp; " / " &amp; Abaco!$B$73</f>
        <v>Altitude max / Masse totale</v>
      </c>
    </row>
    <row r="78" spans="2:13" x14ac:dyDescent="0.2">
      <c r="B78" t="str">
        <f>IF(Lang="Français","Temps de culmination",IF(Lang="English","Apogee time",""))</f>
        <v>Temps de culmination</v>
      </c>
    </row>
    <row r="79" spans="2:13" x14ac:dyDescent="0.2">
      <c r="B79" t="str">
        <f>Abaco!$B$78 &amp; " / " &amp; Abaco!$B$73</f>
        <v>Temps de culmination / Masse totale</v>
      </c>
    </row>
  </sheetData>
  <sheetProtection password="C6AC" sheet="1"/>
  <mergeCells count="12">
    <mergeCell ref="C9:D9"/>
    <mergeCell ref="C2:D3"/>
    <mergeCell ref="C4:D4"/>
    <mergeCell ref="C5:D5"/>
    <mergeCell ref="C7:D7"/>
    <mergeCell ref="C8:D8"/>
    <mergeCell ref="C10:D10"/>
    <mergeCell ref="C12:D12"/>
    <mergeCell ref="C14:D14"/>
    <mergeCell ref="C15:D15"/>
    <mergeCell ref="C16:D16"/>
    <mergeCell ref="C11:D11"/>
  </mergeCells>
  <dataValidations count="3">
    <dataValidation type="decimal" errorStyle="warning" showErrorMessage="1" errorTitle="Cx" error="Le Cx est souvent compris entre 0 et 1._x000a_Cx may be between 0 &amp; 1." sqref="C16:D16" xr:uid="{D81E4ED2-9261-B642-B15E-49553D6C8983}">
      <formula1>0</formula1>
      <formula2>1</formula2>
    </dataValidation>
    <dataValidation operator="greaterThanOrEqual" sqref="C10:D11" xr:uid="{1C08AD22-3102-FB4A-9961-C2D98C3A3BF9}"/>
    <dataValidation sqref="C12:D12" xr:uid="{03A46D1E-7CC5-4549-87C5-1195B5F980EC}"/>
  </dataValidations>
  <hyperlinks>
    <hyperlink ref="B12" location="Stabilito!C17" display="Stabilito!C17" xr:uid="{65AA46A2-0591-9244-969E-2AE41021F0B8}"/>
  </hyperlinks>
  <pageMargins left="0.70866141732283472" right="0.70866141732283472" top="0.74803149606299213" bottom="0.74803149606299213" header="0.31496062992125984" footer="0.31496062992125984"/>
  <pageSetup paperSize="9" scale="92" orientation="landscape"/>
  <drawing r:id="rId1"/>
  <legacyDrawing r:id="rId2"/>
  <oleObjects>
    <mc:AlternateContent xmlns:mc="http://schemas.openxmlformats.org/markup-compatibility/2006">
      <mc:Choice Requires="x14">
        <oleObject progId="Equation.3" shapeId="2604101" r:id="rId3">
          <objectPr defaultSize="0" autoPict="0" r:id="rId4">
            <anchor moveWithCells="1">
              <from>
                <xdr:col>8</xdr:col>
                <xdr:colOff>352425</xdr:colOff>
                <xdr:row>68</xdr:row>
                <xdr:rowOff>28575</xdr:rowOff>
              </from>
              <to>
                <xdr:col>12</xdr:col>
                <xdr:colOff>809625</xdr:colOff>
                <xdr:row>85</xdr:row>
                <xdr:rowOff>9525</xdr:rowOff>
              </to>
            </anchor>
          </objectPr>
        </oleObject>
      </mc:Choice>
      <mc:Fallback>
        <oleObject progId="Equation.3" shapeId="2604101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04063" r:id="rId5" name="Spinner 31">
              <controlPr defaultSize="0" print="0" autoPict="0">
                <anchor moveWithCells="1" sizeWithCells="1">
                  <from>
                    <xdr:col>3</xdr:col>
                    <xdr:colOff>695325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202" r:id="rId6" name="Spinner 170">
              <controlPr defaultSize="0" print="0" autoPict="0">
                <anchor moveWithCells="1" sizeWithCells="1">
                  <from>
                    <xdr:col>3</xdr:col>
                    <xdr:colOff>695325</xdr:colOff>
                    <xdr:row>10</xdr:row>
                    <xdr:rowOff>9525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ED20-6AF7-5A4A-8744-07EF8F441747}">
  <sheetPr codeName="Feuil6">
    <pageSetUpPr fitToPage="1"/>
  </sheetPr>
  <dimension ref="C2:H58"/>
  <sheetViews>
    <sheetView showGridLines="0" workbookViewId="0">
      <selection activeCell="H5" sqref="H5"/>
    </sheetView>
  </sheetViews>
  <sheetFormatPr baseColWidth="10" defaultRowHeight="12.75" x14ac:dyDescent="0.2"/>
  <cols>
    <col min="1" max="1" width="2.140625" customWidth="1"/>
    <col min="2" max="2" width="16.42578125" customWidth="1"/>
    <col min="3" max="4" width="13.5703125" customWidth="1"/>
  </cols>
  <sheetData>
    <row r="2" spans="3:8" x14ac:dyDescent="0.2">
      <c r="C2" s="591" t="s">
        <v>181</v>
      </c>
      <c r="D2" s="591"/>
    </row>
    <row r="3" spans="3:8" x14ac:dyDescent="0.2">
      <c r="C3" s="591"/>
      <c r="D3" s="591"/>
    </row>
    <row r="5" spans="3:8" x14ac:dyDescent="0.2">
      <c r="C5" s="13" t="str">
        <f>IF(Lang="Français","Stabilité de fusée à ailerons","Stability of finned rocket")</f>
        <v>Stabilité de fusée à ailerons</v>
      </c>
    </row>
    <row r="6" spans="3:8" x14ac:dyDescent="0.2">
      <c r="C6" s="2" t="str">
        <f>IF(Lang="Français","Calculs de Stabilité basés sur les équations de Barrowman","Stability calculs are based on Barrowman equations")</f>
        <v>Calculs de Stabilité basés sur les équations de Barrowman</v>
      </c>
    </row>
    <row r="7" spans="3:8" x14ac:dyDescent="0.2">
      <c r="C7" s="13" t="str">
        <f>IF(Lang="Français","Trajectographie de fusée","Rocket Trajectography")</f>
        <v>Trajectographie de fusée</v>
      </c>
    </row>
    <row r="8" spans="3:8" x14ac:dyDescent="0.2">
      <c r="C8" s="2" t="str">
        <f>IF(Lang="Français","Trajectoire dans un plan par calcul pas à pas","Trajectory in a plane, step by step computation")</f>
        <v>Trajectoire dans un plan par calcul pas à pas</v>
      </c>
    </row>
    <row r="9" spans="3:8" x14ac:dyDescent="0.2">
      <c r="C9" s="2"/>
    </row>
    <row r="10" spans="3:8" x14ac:dyDescent="0.2">
      <c r="C10" s="14" t="str">
        <f>IF(Lang="Français","Documentation et équations :","Documentation and equations are aviable in french:")</f>
        <v>Documentation et équations :</v>
      </c>
    </row>
    <row r="11" spans="3:8" x14ac:dyDescent="0.2">
      <c r="C11" t="str">
        <f>IF(Lang="Français","voir le dossier technique Planète-Sciences ''Le Vol de la Fusée, Stabilité &amp; Trajectographie''","dossier technique Planète-Sciences ''Le Vol de la Fusée, Stabilité &amp; Trajectographie''")</f>
        <v>voir le dossier technique Planète-Sciences ''Le Vol de la Fusée, Stabilité &amp; Trajectographie''</v>
      </c>
    </row>
    <row r="12" spans="3:8" x14ac:dyDescent="0.2">
      <c r="C12" t="str">
        <f>IF(Lang="Français","Néanmoins, les équations d'intégration du mouvement utilisées sont légèrement différentes !","")</f>
        <v>Néanmoins, les équations d'intégration du mouvement utilisées sont légèrement différentes !</v>
      </c>
    </row>
    <row r="13" spans="3:8" x14ac:dyDescent="0.2">
      <c r="C13" t="str">
        <f>IF(Lang="Français","Logiciels et dossier technique téléchargeables sur :","Softwares and french documentation can be downloaded at:")</f>
        <v>Logiciels et dossier technique téléchargeables sur :</v>
      </c>
      <c r="H13" s="15" t="s">
        <v>40</v>
      </c>
    </row>
    <row r="15" spans="3:8" x14ac:dyDescent="0.2">
      <c r="C15" s="14" t="str">
        <f>IF(Lang="Français","Pour les experts :","For experts:")</f>
        <v>Pour les experts :</v>
      </c>
    </row>
    <row r="16" spans="3:8" x14ac:dyDescent="0.2">
      <c r="C16" t="str">
        <f>IF(Lang="Français","Pour les curieux et les experts, vous pouvez déprotéger les feuilles de calcul (mot de passe : anstj),","Curious people can unlock excel sheets with this password : anstj")</f>
        <v>Pour les curieux et les experts, vous pouvez déprotéger les feuilles de calcul (mot de passe : anstj),</v>
      </c>
    </row>
    <row r="17" spans="3:8" x14ac:dyDescent="0.2">
      <c r="C17" t="str">
        <f>IF(Lang="Français","et faire vos modifications personnelles (ajout de moteur...).","and do your personal modification (adding a motor...)")</f>
        <v>et faire vos modifications personnelles (ajout de moteur...).</v>
      </c>
    </row>
    <row r="18" spans="3:8" x14ac:dyDescent="0.2">
      <c r="C18" t="s">
        <v>423</v>
      </c>
    </row>
    <row r="19" spans="3:8" x14ac:dyDescent="0.2">
      <c r="C19" t="str">
        <f>IF(Lang="Français","Merci néanmoins de diffuser uniquement la version officielle protégée (fichier initial).","Please avoid distributing unlocked version.")</f>
        <v>Merci néanmoins de diffuser uniquement la version officielle protégée (fichier initial).</v>
      </c>
    </row>
    <row r="20" spans="3:8" x14ac:dyDescent="0.2">
      <c r="C20" t="str">
        <f>IF(Lang="Français","Aucune Macro. Mise en forme conditionnelle, Noms de zone.","No macro. Conditionnal formating, named zones.")</f>
        <v>Aucune Macro. Mise en forme conditionnelle, Noms de zone.</v>
      </c>
    </row>
    <row r="21" spans="3:8" x14ac:dyDescent="0.2">
      <c r="C21" s="48" t="str">
        <f>IF(Lang="Français","Pour changer les choix des menus déroulants et les restrictions des cellules jaunes, cf. Données&gt; Validations…", "To change choices menu &amp; yellow cells restrictions, go to data validation.")</f>
        <v>Pour changer les choix des menus déroulants et les restrictions des cellules jaunes, cf. Données&gt; Validations…</v>
      </c>
    </row>
    <row r="22" spans="3:8" x14ac:dyDescent="0.2">
      <c r="C22" s="48" t="str">
        <f>IF(Lang="Français","Les unités sont réglés dans le Format de la cellule.","Units are set in cell number Format")</f>
        <v>Les unités sont réglés dans le Format de la cellule.</v>
      </c>
      <c r="H22" s="15" t="s">
        <v>38</v>
      </c>
    </row>
    <row r="23" spans="3:8" x14ac:dyDescent="0.2">
      <c r="C23" t="str">
        <f>IF(Lang="Français","Vous pouvez proposer vos améliorations en envoyant votre fichier à : ","Send all remarks and improvements proposals to:")</f>
        <v xml:space="preserve">Vous pouvez proposer vos améliorations en envoyant votre fichier à : </v>
      </c>
      <c r="H23" s="15"/>
    </row>
    <row r="25" spans="3:8" x14ac:dyDescent="0.2">
      <c r="C25" s="14" t="str">
        <f>IF(Lang="Français","Licence :","License:")</f>
        <v>Licence :</v>
      </c>
      <c r="D25" s="16"/>
    </row>
    <row r="26" spans="3:8" x14ac:dyDescent="0.2">
      <c r="C26" t="str">
        <f>IF(Lang="Français","Ce logiciel est placé sous la licence Creative Commons BY-SA","This software is placed under Creative Commons licence BY-SA")</f>
        <v>Ce logiciel est placé sous la licence Creative Commons BY-SA</v>
      </c>
      <c r="H26" s="68" t="s">
        <v>125</v>
      </c>
    </row>
    <row r="28" spans="3:8" x14ac:dyDescent="0.2">
      <c r="C28" s="14" t="str">
        <f>IF(Lang="Français","Compatibilité :","Compatibility:")</f>
        <v>Compatibilité :</v>
      </c>
    </row>
    <row r="29" spans="3:8" x14ac:dyDescent="0.2">
      <c r="C29" t="s">
        <v>155</v>
      </c>
    </row>
    <row r="30" spans="3:8" x14ac:dyDescent="0.2">
      <c r="C30" t="s">
        <v>304</v>
      </c>
    </row>
    <row r="31" spans="3:8" x14ac:dyDescent="0.2">
      <c r="C31" s="49" t="s">
        <v>113</v>
      </c>
    </row>
    <row r="33" spans="3:6" x14ac:dyDescent="0.2">
      <c r="C33" s="14" t="str">
        <f>IF(Lang="Français","Historique :","History:")</f>
        <v>Historique :</v>
      </c>
    </row>
    <row r="34" spans="3:6" x14ac:dyDescent="0.2">
      <c r="C34" t="s">
        <v>105</v>
      </c>
      <c r="D34" t="s">
        <v>43</v>
      </c>
      <c r="E34" s="47" t="s">
        <v>104</v>
      </c>
      <c r="F34" t="str">
        <f>IF(Lang="Français","Essais personnels, héritage d'une feuille de calcul de Vincent Girard, ESO","Personnel tests")</f>
        <v>Essais personnels, héritage d'une feuille de calcul de Vincent Girard, ESO</v>
      </c>
    </row>
    <row r="35" spans="3:6" x14ac:dyDescent="0.2">
      <c r="C35" t="s">
        <v>106</v>
      </c>
      <c r="D35" t="s">
        <v>43</v>
      </c>
      <c r="E35" s="16">
        <v>39483</v>
      </c>
      <c r="F35" t="str">
        <f>IF(Lang="Français","Equations de Barrowman généralisées (D_ref), masquage inter-ailerons, bilingue fr-en","Generalized Barrowman equations (D_ref), fin-fin interaction, english translation")</f>
        <v>Equations de Barrowman généralisées (D_ref), masquage inter-ailerons, bilingue fr-en</v>
      </c>
    </row>
    <row r="36" spans="3:6" x14ac:dyDescent="0.2">
      <c r="C36" t="s">
        <v>107</v>
      </c>
      <c r="D36" t="s">
        <v>43</v>
      </c>
      <c r="E36" s="16">
        <v>39507</v>
      </c>
      <c r="F36" t="str">
        <f>IF(Lang="Français","Schéma de la fusée, estimation analytique de la trajecto, diagramme des critères","Rocket schematic, analytical trajecto, criterions diagram")</f>
        <v>Schéma de la fusée, estimation analytique de la trajecto, diagramme des critères</v>
      </c>
    </row>
    <row r="37" spans="3:6" x14ac:dyDescent="0.2">
      <c r="C37" t="s">
        <v>108</v>
      </c>
      <c r="D37" t="s">
        <v>43</v>
      </c>
      <c r="E37" s="16">
        <v>39694</v>
      </c>
      <c r="F37" t="str">
        <f>IF(Lang="Français","Mise en forme","Formatting")</f>
        <v>Mise en forme</v>
      </c>
    </row>
    <row r="38" spans="3:6" x14ac:dyDescent="0.2">
      <c r="C38" t="s">
        <v>109</v>
      </c>
      <c r="D38" t="s">
        <v>43</v>
      </c>
      <c r="E38" s="16">
        <v>39643</v>
      </c>
      <c r="F38" t="str">
        <f>IF(Lang="Français","Essais personnels, héritage d'une feuille de calcul de Félicien Roux, ESO","Personal tests")</f>
        <v>Essais personnels, héritage d'une feuille de calcul de Félicien Roux, ESO</v>
      </c>
    </row>
    <row r="39" spans="3:6" x14ac:dyDescent="0.2">
      <c r="C39" t="s">
        <v>110</v>
      </c>
      <c r="D39" t="s">
        <v>43</v>
      </c>
      <c r="E39" s="16">
        <v>39755</v>
      </c>
      <c r="F39" t="str">
        <f>IF(Lang="Français","Réécriture équations, traduction, érgonomie","Equations, traduction, ergonomy")</f>
        <v>Réécriture équations, traduction, érgonomie</v>
      </c>
    </row>
    <row r="40" spans="3:6" x14ac:dyDescent="0.2">
      <c r="C40" t="s">
        <v>111</v>
      </c>
      <c r="D40" t="s">
        <v>43</v>
      </c>
      <c r="E40" s="16">
        <v>39756</v>
      </c>
      <c r="F40" t="str">
        <f>IF(Lang="Français","Conditions Initiales pour vol 2e étage, 1ère publication","Initial Conditions, 1st publication")</f>
        <v>Conditions Initiales pour vol 2e étage, 1ère publication</v>
      </c>
    </row>
    <row r="41" spans="3:6" x14ac:dyDescent="0.2">
      <c r="C41" t="s">
        <v>112</v>
      </c>
      <c r="D41" t="s">
        <v>43</v>
      </c>
      <c r="E41" s="16">
        <v>40658</v>
      </c>
      <c r="F41" t="s">
        <v>55</v>
      </c>
    </row>
    <row r="42" spans="3:6" x14ac:dyDescent="0.2">
      <c r="C42" t="s">
        <v>182</v>
      </c>
      <c r="D42" t="s">
        <v>43</v>
      </c>
      <c r="E42" s="16">
        <v>40868</v>
      </c>
      <c r="F42" t="str">
        <f>IF(Lang="Français","Fusion Stabilito+Trajecto, mise en forme, Ctrl, RC, H2O, Abaco","Merge Stabilito+Trajecto, formatting, Ctrl, RC, H2O, Abaco")</f>
        <v>Fusion Stabilito+Trajecto, mise en forme, Ctrl, RC, H2O, Abaco</v>
      </c>
    </row>
    <row r="43" spans="3:6" x14ac:dyDescent="0.2">
      <c r="C43" t="s">
        <v>331</v>
      </c>
      <c r="D43" t="s">
        <v>43</v>
      </c>
      <c r="E43" s="16">
        <v>41194</v>
      </c>
      <c r="F43" t="s">
        <v>335</v>
      </c>
    </row>
    <row r="44" spans="3:6" x14ac:dyDescent="0.2">
      <c r="C44" t="s">
        <v>332</v>
      </c>
      <c r="D44" t="s">
        <v>43</v>
      </c>
      <c r="E44" s="16">
        <v>41329</v>
      </c>
      <c r="F44" t="s">
        <v>336</v>
      </c>
    </row>
    <row r="45" spans="3:6" x14ac:dyDescent="0.2">
      <c r="C45" t="s">
        <v>420</v>
      </c>
      <c r="D45" t="s">
        <v>399</v>
      </c>
      <c r="E45" s="16">
        <v>41947</v>
      </c>
      <c r="F45" t="s">
        <v>419</v>
      </c>
    </row>
    <row r="46" spans="3:6" x14ac:dyDescent="0.2">
      <c r="C46" t="s">
        <v>424</v>
      </c>
      <c r="D46" t="s">
        <v>399</v>
      </c>
      <c r="E46" s="16">
        <v>41965</v>
      </c>
      <c r="F46" t="s">
        <v>422</v>
      </c>
    </row>
    <row r="47" spans="3:6" x14ac:dyDescent="0.2">
      <c r="C47" t="s">
        <v>548</v>
      </c>
      <c r="D47" t="s">
        <v>399</v>
      </c>
      <c r="E47" s="16">
        <v>43098</v>
      </c>
      <c r="F47" t="s">
        <v>549</v>
      </c>
    </row>
    <row r="48" spans="3:6" x14ac:dyDescent="0.2">
      <c r="E48" s="16"/>
    </row>
    <row r="50" spans="3:6" x14ac:dyDescent="0.2">
      <c r="C50" s="14" t="str">
        <f>IF(Lang="Français","Paramètres de référence :","Reference parameters:")</f>
        <v>Paramètres de référence :</v>
      </c>
    </row>
    <row r="51" spans="3:6" x14ac:dyDescent="0.2">
      <c r="C51" s="62" t="str">
        <f>IF(Lang="Français","Gravité g :","Gravity g")</f>
        <v>Gravité g :</v>
      </c>
      <c r="E51" s="62">
        <v>9.81</v>
      </c>
      <c r="F51" s="62" t="s">
        <v>7</v>
      </c>
    </row>
    <row r="52" spans="3:6" x14ac:dyDescent="0.2">
      <c r="C52" s="62" t="str">
        <f>IF(Lang="Français","Masse volumique de l'air ρ :","Air density ρ")</f>
        <v>Masse volumique de l'air ρ :</v>
      </c>
      <c r="E52" s="63">
        <v>1.2250000000000001</v>
      </c>
      <c r="F52" s="62" t="s">
        <v>8</v>
      </c>
    </row>
    <row r="53" spans="3:6" x14ac:dyDescent="0.2">
      <c r="C53" s="48"/>
    </row>
    <row r="54" spans="3:6" x14ac:dyDescent="0.2">
      <c r="C54" s="48"/>
    </row>
    <row r="55" spans="3:6" x14ac:dyDescent="0.2">
      <c r="C55" s="48"/>
    </row>
    <row r="56" spans="3:6" x14ac:dyDescent="0.2">
      <c r="C56" s="48"/>
    </row>
    <row r="57" spans="3:6" x14ac:dyDescent="0.2">
      <c r="C57" s="48"/>
    </row>
    <row r="58" spans="3:6" x14ac:dyDescent="0.2">
      <c r="C58" s="48"/>
    </row>
  </sheetData>
  <sheetProtection password="C6AC" sheet="1"/>
  <mergeCells count="1">
    <mergeCell ref="C2:D3"/>
  </mergeCells>
  <phoneticPr fontId="8" type="noConversion"/>
  <hyperlinks>
    <hyperlink ref="H13" r:id="rId1" xr:uid="{C21D9BE1-9F32-2C4F-A087-D3FD3C5F4521}"/>
    <hyperlink ref="H22" r:id="rId2" xr:uid="{033D3A05-292D-7049-9601-C28B3800BA92}"/>
    <hyperlink ref="H26" r:id="rId3" xr:uid="{DA2C0B5F-6759-474D-A1E0-B5D3D0575ABF}"/>
  </hyperlinks>
  <pageMargins left="0.39370078740157483" right="0.39370078740157483" top="0.39370078740157483" bottom="0.39370078740157483" header="0" footer="0"/>
  <pageSetup scale="73" firstPageNumber="0" orientation="portrait" horizontalDpi="300" verticalDpi="300"/>
  <headerFooter alignWithMargins="0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C7DD-F435-3347-A629-22FA6CA8D978}">
  <sheetPr codeName="Feuil7">
    <pageSetUpPr fitToPage="1"/>
  </sheetPr>
  <dimension ref="B1:U134"/>
  <sheetViews>
    <sheetView showGridLines="0" topLeftCell="D1" zoomScaleNormal="100" workbookViewId="0">
      <selection activeCell="H4" sqref="H4"/>
    </sheetView>
  </sheetViews>
  <sheetFormatPr baseColWidth="10" defaultColWidth="11.5703125" defaultRowHeight="12.75" x14ac:dyDescent="0.2"/>
  <cols>
    <col min="1" max="2" width="2.140625" customWidth="1"/>
    <col min="3" max="3" width="12.5703125" customWidth="1"/>
    <col min="4" max="4" width="21" customWidth="1"/>
    <col min="7" max="7" width="26.5703125" customWidth="1"/>
    <col min="8" max="9" width="6.5703125" customWidth="1"/>
    <col min="10" max="10" width="10" customWidth="1"/>
    <col min="11" max="11" width="13" customWidth="1"/>
    <col min="12" max="12" width="21.42578125" customWidth="1"/>
    <col min="14" max="14" width="2.140625" customWidth="1"/>
    <col min="18" max="19" width="16.42578125" customWidth="1"/>
  </cols>
  <sheetData>
    <row r="1" spans="2:21" ht="13.5" thickBot="1" x14ac:dyDescent="0.25">
      <c r="O1" s="6"/>
      <c r="P1" s="48"/>
      <c r="Q1" s="48"/>
      <c r="R1" s="48"/>
      <c r="S1" s="48"/>
      <c r="T1" s="48"/>
      <c r="U1" s="48"/>
    </row>
    <row r="2" spans="2:21" ht="13.5" thickBot="1" x14ac:dyDescent="0.2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6"/>
      <c r="P2" s="48"/>
      <c r="Q2" s="48"/>
      <c r="R2" s="48"/>
      <c r="S2" s="48"/>
      <c r="T2" s="48"/>
      <c r="U2" s="48"/>
    </row>
    <row r="3" spans="2:21" ht="15.75" customHeight="1" thickBot="1" x14ac:dyDescent="0.25">
      <c r="B3" s="74"/>
      <c r="D3" s="2" t="s">
        <v>433</v>
      </c>
      <c r="N3" s="75"/>
      <c r="O3" s="6"/>
      <c r="P3" s="273" t="s">
        <v>344</v>
      </c>
      <c r="Q3" s="441">
        <f>Long_ogive</f>
        <v>200</v>
      </c>
      <c r="R3" s="48"/>
      <c r="S3" s="48"/>
      <c r="T3" s="48"/>
      <c r="U3" s="48"/>
    </row>
    <row r="4" spans="2:21" ht="15.75" customHeight="1" x14ac:dyDescent="0.2">
      <c r="B4" s="74"/>
      <c r="D4" s="2"/>
      <c r="N4" s="75"/>
      <c r="O4" s="6"/>
      <c r="P4" s="273"/>
      <c r="Q4" s="436"/>
      <c r="R4" s="48"/>
      <c r="S4" s="48"/>
      <c r="T4" s="48"/>
      <c r="U4" s="48"/>
    </row>
    <row r="5" spans="2:21" ht="15.75" customHeight="1" x14ac:dyDescent="0.2">
      <c r="B5" s="74"/>
      <c r="D5" t="s">
        <v>466</v>
      </c>
      <c r="E5" t="str">
        <f>Propu</f>
        <v>Barasinga (Pro54-5G)</v>
      </c>
      <c r="G5" t="s">
        <v>463</v>
      </c>
      <c r="H5">
        <f>MasseSans</f>
        <v>5.5</v>
      </c>
      <c r="N5" s="75"/>
      <c r="O5" s="6"/>
      <c r="P5" s="273"/>
      <c r="Q5" s="436"/>
      <c r="R5" s="48"/>
      <c r="S5" s="48"/>
      <c r="T5" s="48"/>
      <c r="U5" s="48"/>
    </row>
    <row r="6" spans="2:21" x14ac:dyDescent="0.2">
      <c r="B6" s="74"/>
      <c r="D6" t="s">
        <v>459</v>
      </c>
      <c r="E6" s="2" t="str">
        <f>Trajecto!H32</f>
        <v>Brun/Orange…</v>
      </c>
      <c r="G6" t="s">
        <v>464</v>
      </c>
      <c r="H6">
        <f>D_ref</f>
        <v>84</v>
      </c>
      <c r="N6" s="75"/>
      <c r="O6" s="6"/>
      <c r="P6" s="273"/>
      <c r="Q6" s="436"/>
      <c r="R6" s="48"/>
      <c r="S6" s="48"/>
      <c r="T6" s="48"/>
      <c r="U6" s="48"/>
    </row>
    <row r="7" spans="2:21" x14ac:dyDescent="0.2">
      <c r="B7" s="74"/>
      <c r="D7" t="s">
        <v>461</v>
      </c>
      <c r="E7" s="2" t="str">
        <f>Trajecto!H33</f>
        <v>Rouge…</v>
      </c>
      <c r="G7" t="s">
        <v>5</v>
      </c>
      <c r="H7">
        <f>Cx</f>
        <v>0.6</v>
      </c>
      <c r="N7" s="75"/>
      <c r="O7" s="6"/>
      <c r="P7" s="273"/>
      <c r="Q7" s="436"/>
      <c r="R7" s="48"/>
      <c r="S7" s="48"/>
      <c r="T7" s="48"/>
      <c r="U7" s="48"/>
    </row>
    <row r="8" spans="2:21" x14ac:dyDescent="0.2">
      <c r="B8" s="74"/>
      <c r="D8" t="s">
        <v>462</v>
      </c>
      <c r="E8" s="2">
        <f>S_para</f>
        <v>1.5070049999999999</v>
      </c>
      <c r="G8" t="s">
        <v>465</v>
      </c>
      <c r="H8">
        <f>L_rampe</f>
        <v>4</v>
      </c>
      <c r="N8" s="75"/>
      <c r="O8" s="6"/>
      <c r="P8" s="273"/>
      <c r="Q8" s="436"/>
      <c r="R8" s="48"/>
      <c r="S8" s="48"/>
      <c r="T8" s="48"/>
      <c r="U8" s="48"/>
    </row>
    <row r="9" spans="2:21" x14ac:dyDescent="0.2">
      <c r="B9" s="74"/>
      <c r="D9" t="s">
        <v>460</v>
      </c>
      <c r="E9" s="2"/>
      <c r="G9" t="s">
        <v>149</v>
      </c>
      <c r="H9" s="534" t="str">
        <f>Forme_ogive</f>
        <v>Conique (droite)</v>
      </c>
      <c r="N9" s="75"/>
      <c r="O9" s="6"/>
      <c r="P9" s="273"/>
      <c r="Q9" s="436"/>
      <c r="R9" s="48"/>
      <c r="S9" s="48"/>
      <c r="T9" s="48"/>
      <c r="U9" s="48"/>
    </row>
    <row r="10" spans="2:21" x14ac:dyDescent="0.2">
      <c r="B10" s="74"/>
      <c r="F10" s="3"/>
      <c r="G10" s="6"/>
      <c r="N10" s="75"/>
      <c r="O10" s="523"/>
      <c r="P10" s="48"/>
      <c r="Q10" s="436"/>
      <c r="R10" s="48"/>
      <c r="S10" s="48"/>
      <c r="T10" s="48"/>
      <c r="U10" s="48"/>
    </row>
    <row r="11" spans="2:21" ht="13.5" thickBot="1" x14ac:dyDescent="0.25">
      <c r="B11" s="74"/>
      <c r="C11" s="12"/>
      <c r="D11" s="275" t="s">
        <v>458</v>
      </c>
      <c r="E11" s="243">
        <f>MasseSans</f>
        <v>5.5</v>
      </c>
      <c r="F11" s="246" t="s">
        <v>126</v>
      </c>
      <c r="G11" s="246" t="s">
        <v>128</v>
      </c>
      <c r="H11" s="666">
        <f ca="1">Vsortie_de_rampe</f>
        <v>29.497067091147294</v>
      </c>
      <c r="I11" s="667"/>
      <c r="J11" s="76"/>
      <c r="N11" s="75"/>
      <c r="P11" s="48"/>
      <c r="Q11" s="436"/>
      <c r="R11" s="48"/>
      <c r="S11" s="48"/>
      <c r="T11" s="48"/>
      <c r="U11" s="440">
        <f>IF(RIGHT(Nb_diam,1)=",", "", X_j)</f>
        <v>900</v>
      </c>
    </row>
    <row r="12" spans="2:21" ht="13.5" thickBot="1" x14ac:dyDescent="0.25">
      <c r="B12" s="74"/>
      <c r="C12" s="12"/>
      <c r="D12" s="276"/>
      <c r="E12" s="244"/>
      <c r="F12" s="6" t="s">
        <v>126</v>
      </c>
      <c r="G12" s="6" t="s">
        <v>129</v>
      </c>
      <c r="H12" s="668">
        <f>Finesse</f>
        <v>23.214285714285715</v>
      </c>
      <c r="I12" s="669"/>
      <c r="J12" s="76"/>
      <c r="N12" s="75"/>
      <c r="O12" s="6"/>
      <c r="P12" s="273" t="s">
        <v>345</v>
      </c>
      <c r="Q12" s="441">
        <f>D_og</f>
        <v>84</v>
      </c>
      <c r="R12" s="48"/>
      <c r="S12" s="48"/>
      <c r="T12" s="48"/>
      <c r="U12" s="436"/>
    </row>
    <row r="13" spans="2:21" x14ac:dyDescent="0.2">
      <c r="B13" s="74"/>
      <c r="C13" s="12"/>
      <c r="D13" s="276" t="s">
        <v>5</v>
      </c>
      <c r="E13" s="244">
        <f>Cx</f>
        <v>0.6</v>
      </c>
      <c r="F13" s="6" t="s">
        <v>126</v>
      </c>
      <c r="G13" s="6" t="s">
        <v>437</v>
      </c>
      <c r="H13" s="668">
        <f>Cn</f>
        <v>30.386681608896026</v>
      </c>
      <c r="I13" s="669"/>
      <c r="J13" s="76"/>
      <c r="N13" s="75"/>
      <c r="O13" s="6"/>
      <c r="P13" s="48"/>
      <c r="Q13" s="436"/>
      <c r="R13" s="48"/>
      <c r="S13" s="48"/>
      <c r="T13" s="48"/>
      <c r="U13" s="440">
        <f>IF(RIGHT(Nb_diam,1)=",", "", X_r)</f>
        <v>1900</v>
      </c>
    </row>
    <row r="14" spans="2:21" x14ac:dyDescent="0.2">
      <c r="B14" s="74"/>
      <c r="C14" s="12"/>
      <c r="D14" s="276" t="s">
        <v>146</v>
      </c>
      <c r="E14" s="244">
        <f>L_rampe</f>
        <v>4</v>
      </c>
      <c r="F14" s="6" t="s">
        <v>126</v>
      </c>
      <c r="G14" s="6" t="s">
        <v>130</v>
      </c>
      <c r="H14" s="247">
        <f ca="1">MS_min</f>
        <v>2.0895228236400465</v>
      </c>
      <c r="I14" s="254">
        <f ca="1">MS_max</f>
        <v>4.5948146770129323</v>
      </c>
      <c r="J14" s="76"/>
      <c r="K14" s="76"/>
      <c r="N14" s="75"/>
      <c r="P14" s="48"/>
      <c r="Q14" s="436"/>
      <c r="R14" s="48"/>
      <c r="S14" s="48"/>
      <c r="T14" s="48"/>
      <c r="U14" s="436"/>
    </row>
    <row r="15" spans="2:21" x14ac:dyDescent="0.2">
      <c r="B15" s="74"/>
      <c r="C15" s="12"/>
      <c r="D15" s="276" t="s">
        <v>147</v>
      </c>
      <c r="E15" s="244">
        <f>ep_ail</f>
        <v>4</v>
      </c>
      <c r="F15" s="6" t="s">
        <v>126</v>
      </c>
      <c r="G15" s="6" t="s">
        <v>127</v>
      </c>
      <c r="H15" s="247">
        <f ca="1">MS_Cn_min</f>
        <v>63.493664756471496</v>
      </c>
      <c r="I15" s="254">
        <f ca="1">MS_Cn_max</f>
        <v>176.25122496253064</v>
      </c>
      <c r="J15" s="76"/>
      <c r="K15" s="76"/>
      <c r="N15" s="75"/>
      <c r="P15" s="48"/>
      <c r="Q15" s="436"/>
      <c r="R15" s="48"/>
      <c r="S15" s="48"/>
      <c r="T15" s="48"/>
    </row>
    <row r="16" spans="2:21" x14ac:dyDescent="0.2">
      <c r="B16" s="74"/>
      <c r="C16" s="12"/>
      <c r="D16" s="276" t="s">
        <v>148</v>
      </c>
      <c r="E16" s="244">
        <f>Q_ail</f>
        <v>4</v>
      </c>
      <c r="F16" s="6" t="s">
        <v>131</v>
      </c>
      <c r="G16" s="6" t="s">
        <v>132</v>
      </c>
      <c r="H16" s="247">
        <f ca="1">V_para</f>
        <v>8.0859727600011446</v>
      </c>
      <c r="I16" s="253">
        <f>V_satellite</f>
        <v>12.655562623057198</v>
      </c>
      <c r="J16" s="76"/>
      <c r="N16" s="75"/>
      <c r="P16" s="48"/>
      <c r="Q16" s="436"/>
      <c r="R16" s="48"/>
      <c r="S16" s="48"/>
      <c r="T16" s="48"/>
      <c r="U16" s="440">
        <f>IF(RIGHT(Nb_diam,1)=",", "", l_j)</f>
        <v>150</v>
      </c>
    </row>
    <row r="17" spans="2:21" x14ac:dyDescent="0.2">
      <c r="B17" s="74"/>
      <c r="C17" s="12"/>
      <c r="D17" s="276" t="s">
        <v>149</v>
      </c>
      <c r="E17" s="272" t="str">
        <f>Forme_ogive</f>
        <v>Conique (droite)</v>
      </c>
      <c r="F17" s="6" t="s">
        <v>133</v>
      </c>
      <c r="G17" s="6" t="s">
        <v>134</v>
      </c>
      <c r="H17" s="668">
        <f>T_para</f>
        <v>19</v>
      </c>
      <c r="I17" s="669"/>
      <c r="J17" s="258"/>
      <c r="N17" s="75"/>
      <c r="P17" s="434" t="s">
        <v>346</v>
      </c>
      <c r="Q17" s="440">
        <f>IF(RIGHT(Nb_diam,1)=",", "", D2j)</f>
        <v>84</v>
      </c>
      <c r="R17" s="48"/>
      <c r="S17" s="48"/>
      <c r="T17" s="48"/>
      <c r="U17" s="436"/>
    </row>
    <row r="18" spans="2:21" x14ac:dyDescent="0.2">
      <c r="B18" s="74"/>
      <c r="C18" s="12"/>
      <c r="D18" s="276" t="s">
        <v>151</v>
      </c>
      <c r="E18" s="244">
        <f ca="1">XpropuRef-Long_propu</f>
        <v>1462</v>
      </c>
      <c r="F18" s="12" t="s">
        <v>133</v>
      </c>
      <c r="G18" s="12" t="s">
        <v>431</v>
      </c>
      <c r="H18" s="594">
        <f ca="1">T_para-Combustion-Depotage</f>
        <v>19</v>
      </c>
      <c r="I18" s="670"/>
      <c r="N18" s="75"/>
      <c r="P18" s="48"/>
      <c r="Q18" s="436"/>
      <c r="R18" s="48"/>
      <c r="S18" s="48"/>
    </row>
    <row r="19" spans="2:21" x14ac:dyDescent="0.2">
      <c r="B19" s="74"/>
      <c r="C19" s="533"/>
      <c r="D19" s="269"/>
      <c r="E19" s="271"/>
      <c r="F19" s="521" t="s">
        <v>135</v>
      </c>
      <c r="G19" s="274" t="s">
        <v>430</v>
      </c>
      <c r="H19" s="671">
        <f ca="1">Portee_balistique</f>
        <v>568.62651553779426</v>
      </c>
      <c r="I19" s="672"/>
      <c r="N19" s="75"/>
      <c r="P19" s="48"/>
      <c r="Q19" s="436"/>
      <c r="R19" s="48"/>
      <c r="S19" s="48"/>
      <c r="T19" s="48"/>
    </row>
    <row r="20" spans="2:21" x14ac:dyDescent="0.2">
      <c r="B20" s="74"/>
      <c r="C20" s="12"/>
      <c r="D20" s="6"/>
      <c r="E20" s="6"/>
      <c r="H20" s="520"/>
      <c r="I20" s="520"/>
      <c r="N20" s="75"/>
      <c r="P20" s="48"/>
      <c r="Q20" s="436"/>
      <c r="R20" s="48"/>
      <c r="S20" s="48"/>
      <c r="T20" s="48"/>
      <c r="U20" s="440">
        <f>IF(RIGHT(Nb_diam,1)=",", "", l_r)</f>
        <v>50</v>
      </c>
    </row>
    <row r="21" spans="2:21" x14ac:dyDescent="0.2">
      <c r="B21" s="74"/>
      <c r="C21" s="12"/>
      <c r="D21" s="6"/>
      <c r="E21" s="263"/>
      <c r="F21" s="3"/>
      <c r="G21" s="6"/>
      <c r="H21" s="520"/>
      <c r="I21" s="520"/>
      <c r="N21" s="75"/>
      <c r="O21" s="273"/>
      <c r="P21" s="436"/>
      <c r="Q21" s="48"/>
      <c r="R21" s="48"/>
      <c r="S21" s="48"/>
      <c r="T21" s="226"/>
      <c r="U21" s="436"/>
    </row>
    <row r="22" spans="2:21" x14ac:dyDescent="0.2">
      <c r="B22" s="74"/>
      <c r="C22" s="528" t="s">
        <v>457</v>
      </c>
      <c r="D22" s="528" t="s">
        <v>441</v>
      </c>
      <c r="E22" s="529"/>
      <c r="F22" s="530" t="s">
        <v>446</v>
      </c>
      <c r="G22" s="528" t="s">
        <v>451</v>
      </c>
      <c r="I22" s="531"/>
      <c r="J22" s="532" t="s">
        <v>159</v>
      </c>
      <c r="K22" s="528" t="s">
        <v>160</v>
      </c>
      <c r="N22" s="75"/>
      <c r="O22" s="273"/>
      <c r="P22" s="436"/>
      <c r="Q22" s="48"/>
      <c r="R22" s="48"/>
      <c r="S22" s="48"/>
      <c r="T22" s="226"/>
      <c r="U22" s="436"/>
    </row>
    <row r="23" spans="2:21" x14ac:dyDescent="0.2">
      <c r="B23" s="74"/>
      <c r="C23" s="528" t="s">
        <v>456</v>
      </c>
      <c r="D23" s="529">
        <f>XcgSans</f>
        <v>950</v>
      </c>
      <c r="E23" s="529" t="s">
        <v>39</v>
      </c>
      <c r="F23" s="530">
        <f>m_ail</f>
        <v>170</v>
      </c>
      <c r="G23" s="528">
        <f>m_can</f>
        <v>130</v>
      </c>
      <c r="I23" s="531" t="s">
        <v>452</v>
      </c>
      <c r="J23" s="530">
        <f>l_j</f>
        <v>150</v>
      </c>
      <c r="K23" s="528">
        <f>l_r</f>
        <v>50</v>
      </c>
      <c r="N23" s="75"/>
      <c r="O23" s="273"/>
      <c r="P23" s="436"/>
      <c r="Q23" s="48"/>
      <c r="R23" s="48"/>
      <c r="S23" s="48"/>
      <c r="T23" s="226"/>
      <c r="U23" s="436"/>
    </row>
    <row r="24" spans="2:21" x14ac:dyDescent="0.2">
      <c r="B24" s="74"/>
      <c r="C24" s="528" t="s">
        <v>444</v>
      </c>
      <c r="D24" s="528">
        <f>Long_tot</f>
        <v>1950</v>
      </c>
      <c r="E24" s="529" t="s">
        <v>447</v>
      </c>
      <c r="F24" s="530">
        <f>n_ail</f>
        <v>190</v>
      </c>
      <c r="G24" s="528">
        <f>n_can</f>
        <v>70</v>
      </c>
      <c r="I24" s="531" t="s">
        <v>453</v>
      </c>
      <c r="J24" s="530">
        <f>D1j</f>
        <v>84</v>
      </c>
      <c r="K24" s="528">
        <f>D1r</f>
        <v>84</v>
      </c>
      <c r="N24" s="75"/>
      <c r="O24" s="273"/>
      <c r="P24" s="436"/>
      <c r="Q24" s="48"/>
      <c r="R24" s="48"/>
      <c r="S24" s="48"/>
      <c r="T24" s="226"/>
      <c r="U24" s="436"/>
    </row>
    <row r="25" spans="2:21" x14ac:dyDescent="0.2">
      <c r="B25" s="74"/>
      <c r="C25" s="528" t="s">
        <v>445</v>
      </c>
      <c r="D25" s="528">
        <f>XpropuRef</f>
        <v>1950</v>
      </c>
      <c r="E25" s="529" t="s">
        <v>448</v>
      </c>
      <c r="F25" s="530">
        <f>p_ail</f>
        <v>40</v>
      </c>
      <c r="G25" s="528">
        <f>p_can</f>
        <v>130</v>
      </c>
      <c r="I25" s="531" t="s">
        <v>454</v>
      </c>
      <c r="J25" s="530">
        <f>D2j</f>
        <v>84</v>
      </c>
      <c r="K25" s="528">
        <f>D2r</f>
        <v>84</v>
      </c>
      <c r="N25" s="75"/>
      <c r="O25" s="273"/>
      <c r="P25" s="436"/>
      <c r="Q25" s="48"/>
      <c r="R25" s="48"/>
      <c r="S25" s="48"/>
      <c r="T25" s="226"/>
      <c r="U25" s="436"/>
    </row>
    <row r="26" spans="2:21" x14ac:dyDescent="0.2">
      <c r="B26" s="74"/>
      <c r="C26" s="528" t="s">
        <v>442</v>
      </c>
      <c r="D26" s="528">
        <f>D_ref</f>
        <v>84</v>
      </c>
      <c r="E26" s="529" t="s">
        <v>449</v>
      </c>
      <c r="F26" s="530">
        <f>E_ail</f>
        <v>140</v>
      </c>
      <c r="G26" s="528">
        <f>E_can</f>
        <v>110</v>
      </c>
      <c r="I26" s="531" t="s">
        <v>455</v>
      </c>
      <c r="J26" s="530">
        <f>X_j</f>
        <v>900</v>
      </c>
      <c r="K26" s="528">
        <f>X_r</f>
        <v>1900</v>
      </c>
      <c r="N26" s="75"/>
      <c r="O26" s="273"/>
      <c r="P26" s="436"/>
      <c r="Q26" s="48"/>
      <c r="R26" s="48"/>
      <c r="S26" s="48"/>
      <c r="T26" s="226"/>
      <c r="U26" s="436"/>
    </row>
    <row r="27" spans="2:21" x14ac:dyDescent="0.2">
      <c r="B27" s="74"/>
      <c r="C27" s="528" t="s">
        <v>443</v>
      </c>
      <c r="D27" s="528">
        <f>Long_ogive</f>
        <v>200</v>
      </c>
      <c r="E27" s="529" t="s">
        <v>450</v>
      </c>
      <c r="F27" s="530">
        <f>X_ail</f>
        <v>1950</v>
      </c>
      <c r="G27" s="528">
        <f>X_can</f>
        <v>850</v>
      </c>
      <c r="H27" s="520"/>
      <c r="I27" s="3"/>
      <c r="J27" s="2"/>
      <c r="N27" s="75"/>
      <c r="O27" s="273"/>
      <c r="P27" s="436"/>
      <c r="Q27" s="48"/>
      <c r="R27" s="48"/>
      <c r="S27" s="48"/>
      <c r="T27" s="226"/>
      <c r="U27" s="436"/>
    </row>
    <row r="28" spans="2:21" ht="13.5" thickBot="1" x14ac:dyDescent="0.25">
      <c r="B28" s="74"/>
      <c r="E28" s="95"/>
      <c r="N28" s="75"/>
      <c r="O28" s="2"/>
      <c r="P28" s="6"/>
      <c r="Q28" s="2"/>
      <c r="R28" s="48"/>
      <c r="S28" s="48"/>
      <c r="T28" s="48"/>
      <c r="U28" s="436"/>
    </row>
    <row r="29" spans="2:21" ht="13.5" thickBot="1" x14ac:dyDescent="0.25">
      <c r="B29" s="74"/>
      <c r="C29" s="659" t="s">
        <v>144</v>
      </c>
      <c r="D29" s="659" t="s">
        <v>136</v>
      </c>
      <c r="E29" s="659" t="s">
        <v>137</v>
      </c>
      <c r="F29" s="659"/>
      <c r="G29" s="659"/>
      <c r="H29" s="660" t="s">
        <v>138</v>
      </c>
      <c r="I29" s="660"/>
      <c r="J29" s="660"/>
      <c r="K29" s="660"/>
      <c r="L29" s="659" t="s">
        <v>139</v>
      </c>
      <c r="M29" s="659" t="s">
        <v>140</v>
      </c>
      <c r="N29" s="75"/>
      <c r="O29" s="273" t="s">
        <v>434</v>
      </c>
      <c r="P29" s="441">
        <f>n_ail</f>
        <v>190</v>
      </c>
      <c r="Q29" s="2"/>
      <c r="R29" s="48"/>
      <c r="S29" s="48"/>
      <c r="T29" s="48"/>
      <c r="U29" s="12" t="s">
        <v>438</v>
      </c>
    </row>
    <row r="30" spans="2:21" ht="13.5" thickBot="1" x14ac:dyDescent="0.25">
      <c r="B30" s="74"/>
      <c r="C30" s="659"/>
      <c r="D30" s="659"/>
      <c r="E30" s="659"/>
      <c r="F30" s="659"/>
      <c r="G30" s="659"/>
      <c r="H30" s="660" t="s">
        <v>141</v>
      </c>
      <c r="I30" s="660"/>
      <c r="J30" s="69" t="s">
        <v>142</v>
      </c>
      <c r="K30" s="70" t="s">
        <v>143</v>
      </c>
      <c r="L30" s="659"/>
      <c r="M30" s="659"/>
      <c r="N30" s="75"/>
      <c r="P30" s="12"/>
      <c r="R30" s="48"/>
      <c r="S30" s="48"/>
      <c r="T30" s="226" t="s">
        <v>436</v>
      </c>
      <c r="U30" s="525">
        <f>[0]!p_can</f>
        <v>130</v>
      </c>
    </row>
    <row r="31" spans="2:21" ht="13.5" thickBot="1" x14ac:dyDescent="0.25">
      <c r="B31" s="74"/>
      <c r="C31" s="83">
        <f>Beta_rampe</f>
        <v>85</v>
      </c>
      <c r="D31" s="84">
        <f ca="1">Portee_balistique</f>
        <v>568.62651553779426</v>
      </c>
      <c r="E31" s="658">
        <f ca="1">T_para+Dt_para</f>
        <v>257.24592057896245</v>
      </c>
      <c r="F31" s="658"/>
      <c r="G31" s="658"/>
      <c r="H31" s="661">
        <f ca="1">Altitude_culmi</f>
        <v>1926.6040134102664</v>
      </c>
      <c r="I31" s="661"/>
      <c r="J31" s="85">
        <f ca="1">Temps_culmi</f>
        <v>18.799999999999955</v>
      </c>
      <c r="K31" s="86">
        <f ca="1">Vit_culmi</f>
        <v>14.284654798891694</v>
      </c>
      <c r="L31" s="84">
        <f ca="1">Acc_max</f>
        <v>114.63589403483726</v>
      </c>
      <c r="M31" s="86">
        <f ca="1">Vit_max</f>
        <v>236.13002728479427</v>
      </c>
      <c r="N31" s="75"/>
      <c r="O31" s="273" t="s">
        <v>440</v>
      </c>
      <c r="P31" s="441">
        <f>ep_ail</f>
        <v>4</v>
      </c>
      <c r="Q31" s="2"/>
      <c r="R31" s="48"/>
      <c r="S31" s="48"/>
      <c r="T31" s="226" t="s">
        <v>348</v>
      </c>
      <c r="U31" s="525">
        <f>[0]!m_can</f>
        <v>130</v>
      </c>
    </row>
    <row r="32" spans="2:21" ht="13.5" thickBot="1" x14ac:dyDescent="0.25">
      <c r="B32" s="74"/>
      <c r="C32" s="522"/>
      <c r="D32" s="242"/>
      <c r="E32" s="247"/>
      <c r="F32" s="247"/>
      <c r="G32" s="247"/>
      <c r="H32" s="283"/>
      <c r="I32" s="283"/>
      <c r="J32" s="247"/>
      <c r="K32" s="248"/>
      <c r="L32" s="242"/>
      <c r="M32" s="248"/>
      <c r="N32" s="75"/>
      <c r="O32" s="273" t="s">
        <v>439</v>
      </c>
      <c r="P32" s="524">
        <f>Q_ail</f>
        <v>4</v>
      </c>
      <c r="Q32" s="2"/>
      <c r="R32" s="48"/>
      <c r="S32" s="48"/>
      <c r="T32" s="226" t="s">
        <v>434</v>
      </c>
      <c r="U32" s="525">
        <f>[0]!n_can</f>
        <v>70</v>
      </c>
    </row>
    <row r="33" spans="2:21" ht="13.5" thickBot="1" x14ac:dyDescent="0.25">
      <c r="B33" s="74"/>
      <c r="D33" s="80"/>
      <c r="E33" s="81"/>
      <c r="F33" s="81"/>
      <c r="G33" s="81"/>
      <c r="H33" s="82"/>
      <c r="I33" s="82"/>
      <c r="J33" s="81"/>
      <c r="K33" s="76"/>
      <c r="L33" s="80"/>
      <c r="M33" s="76"/>
      <c r="N33" s="75"/>
      <c r="O33" s="2"/>
      <c r="Q33" s="2"/>
      <c r="R33" s="48"/>
      <c r="S33" s="48"/>
      <c r="T33" s="226" t="s">
        <v>435</v>
      </c>
      <c r="U33" s="525">
        <f>[0]!E_can</f>
        <v>110</v>
      </c>
    </row>
    <row r="34" spans="2:21" ht="13.5" thickBot="1" x14ac:dyDescent="0.25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2"/>
      <c r="P34" s="273" t="s">
        <v>435</v>
      </c>
      <c r="Q34" s="441">
        <f>E_ail</f>
        <v>140</v>
      </c>
      <c r="T34" s="226" t="s">
        <v>440</v>
      </c>
      <c r="U34" s="525">
        <f>[0]!ep_can</f>
        <v>4</v>
      </c>
    </row>
    <row r="35" spans="2:21" x14ac:dyDescent="0.2">
      <c r="O35" s="2"/>
      <c r="P35" s="6"/>
      <c r="Q35" s="6"/>
      <c r="T35" s="226" t="s">
        <v>439</v>
      </c>
      <c r="U35" s="525">
        <f>[0]!Q_can</f>
        <v>4</v>
      </c>
    </row>
    <row r="36" spans="2:21" ht="13.5" thickBot="1" x14ac:dyDescent="0.25">
      <c r="T36" s="2"/>
      <c r="U36" s="12"/>
    </row>
    <row r="37" spans="2:21" x14ac:dyDescent="0.2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T37" s="2"/>
    </row>
    <row r="38" spans="2:21" x14ac:dyDescent="0.2">
      <c r="B38" s="74"/>
      <c r="D38" s="2" t="s">
        <v>198</v>
      </c>
      <c r="N38" s="75"/>
    </row>
    <row r="39" spans="2:21" x14ac:dyDescent="0.2">
      <c r="B39" s="74"/>
      <c r="D39" s="2"/>
      <c r="N39" s="75"/>
    </row>
    <row r="40" spans="2:21" x14ac:dyDescent="0.2">
      <c r="B40" s="74"/>
      <c r="D40" s="275" t="s">
        <v>152</v>
      </c>
      <c r="E40" s="246">
        <f>D_ref</f>
        <v>84</v>
      </c>
      <c r="F40" s="265"/>
      <c r="G40" s="265"/>
      <c r="H40" s="261" t="s">
        <v>201</v>
      </c>
      <c r="I40" s="261" t="s">
        <v>202</v>
      </c>
      <c r="J40" s="262" t="s">
        <v>203</v>
      </c>
      <c r="N40" s="75"/>
    </row>
    <row r="41" spans="2:21" x14ac:dyDescent="0.2">
      <c r="B41" s="74"/>
      <c r="D41" s="276" t="s">
        <v>150</v>
      </c>
      <c r="E41" s="6">
        <f>Long_ogive</f>
        <v>200</v>
      </c>
      <c r="F41" s="2"/>
      <c r="G41" s="2" t="s">
        <v>204</v>
      </c>
      <c r="H41" s="6">
        <f>MasseSans</f>
        <v>5.5</v>
      </c>
      <c r="I41" s="6">
        <f ca="1">MasseVide</f>
        <v>6.1520000000000001</v>
      </c>
      <c r="J41" s="244">
        <f ca="1">MassePlein</f>
        <v>7.1850000000000005</v>
      </c>
      <c r="N41" s="75"/>
    </row>
    <row r="42" spans="2:21" x14ac:dyDescent="0.2">
      <c r="B42" s="74"/>
      <c r="D42" s="276" t="s">
        <v>153</v>
      </c>
      <c r="E42" s="6">
        <f>X_ail-m_ail</f>
        <v>1780</v>
      </c>
      <c r="F42" s="255"/>
      <c r="G42" s="255" t="s">
        <v>221</v>
      </c>
      <c r="H42" s="263">
        <f>XcgSans</f>
        <v>950</v>
      </c>
      <c r="I42" s="263">
        <f ca="1">XcgVide</f>
        <v>1029.6983094928478</v>
      </c>
      <c r="J42" s="245">
        <f ca="1">XcgPlein</f>
        <v>1128.7014613778706</v>
      </c>
      <c r="N42" s="75"/>
    </row>
    <row r="43" spans="2:21" x14ac:dyDescent="0.2">
      <c r="B43" s="74"/>
      <c r="D43" s="276" t="str">
        <f>IF(Lang="Français","Emplanture 'm'",IF(Lang="English","Root edge  'm'",""))</f>
        <v>Emplanture 'm'</v>
      </c>
      <c r="E43" s="244">
        <f>m_ail</f>
        <v>170</v>
      </c>
      <c r="N43" s="75"/>
    </row>
    <row r="44" spans="2:21" x14ac:dyDescent="0.2">
      <c r="B44" s="74"/>
      <c r="D44" s="276" t="str">
        <f>IF(Lang="Français","Saumon      'n'",IF(Lang="English","Tip edge    'n'",""))</f>
        <v>Saumon      'n'</v>
      </c>
      <c r="E44" s="244">
        <f>n_ail</f>
        <v>190</v>
      </c>
      <c r="F44" s="246" t="s">
        <v>205</v>
      </c>
      <c r="G44" s="246" t="s">
        <v>210</v>
      </c>
      <c r="H44" s="666">
        <f ca="1">Vsortie_de_rampe</f>
        <v>29.497067091147294</v>
      </c>
      <c r="I44" s="667"/>
      <c r="N44" s="75"/>
    </row>
    <row r="45" spans="2:21" x14ac:dyDescent="0.2">
      <c r="B45" s="74"/>
      <c r="D45" s="276" t="str">
        <f>IF(Lang="Français","Flèche        'p'",IF(Lang="English","Offset         'p'",""))</f>
        <v>Flèche        'p'</v>
      </c>
      <c r="E45" s="244">
        <f>p_ail</f>
        <v>40</v>
      </c>
      <c r="F45" s="6" t="s">
        <v>206</v>
      </c>
      <c r="G45" s="6" t="s">
        <v>211</v>
      </c>
      <c r="H45" s="668">
        <f>Finesse</f>
        <v>23.214285714285715</v>
      </c>
      <c r="I45" s="669"/>
      <c r="N45" s="75"/>
    </row>
    <row r="46" spans="2:21" x14ac:dyDescent="0.2">
      <c r="B46" s="74"/>
      <c r="D46" s="276" t="str">
        <f>IF(Lang="Français","Envergure   'E'",IF(Lang="English","Span          'E'",""))</f>
        <v>Envergure   'E'</v>
      </c>
      <c r="E46" s="244">
        <f>E_ail</f>
        <v>140</v>
      </c>
      <c r="F46" s="6" t="s">
        <v>207</v>
      </c>
      <c r="G46" s="6" t="s">
        <v>212</v>
      </c>
      <c r="H46" s="668">
        <f>Cn</f>
        <v>30.386681608896026</v>
      </c>
      <c r="I46" s="669"/>
      <c r="N46" s="75"/>
    </row>
    <row r="47" spans="2:21" x14ac:dyDescent="0.2">
      <c r="B47" s="74"/>
      <c r="D47" s="276" t="s">
        <v>147</v>
      </c>
      <c r="E47" s="244">
        <f>ep_ail</f>
        <v>4</v>
      </c>
      <c r="F47" s="6" t="s">
        <v>208</v>
      </c>
      <c r="G47" s="6" t="s">
        <v>213</v>
      </c>
      <c r="H47" s="247">
        <f ca="1">MS_min</f>
        <v>2.0895228236400465</v>
      </c>
      <c r="I47" s="254">
        <f ca="1">MS_max</f>
        <v>4.5948146770129323</v>
      </c>
      <c r="N47" s="75"/>
    </row>
    <row r="48" spans="2:21" x14ac:dyDescent="0.2">
      <c r="B48" s="74"/>
      <c r="D48" s="276" t="s">
        <v>148</v>
      </c>
      <c r="E48" s="244">
        <f>Q_ail</f>
        <v>4</v>
      </c>
      <c r="F48" s="274" t="s">
        <v>209</v>
      </c>
      <c r="G48" s="274" t="s">
        <v>214</v>
      </c>
      <c r="H48" s="256">
        <f ca="1">MS_Cn_min</f>
        <v>63.493664756471496</v>
      </c>
      <c r="I48" s="264">
        <f ca="1">MS_Cn_max</f>
        <v>176.25122496253064</v>
      </c>
      <c r="N48" s="75"/>
    </row>
    <row r="49" spans="2:14" x14ac:dyDescent="0.2">
      <c r="B49" s="74"/>
      <c r="D49" s="276" t="s">
        <v>151</v>
      </c>
      <c r="E49" s="244">
        <f ca="1">XpropuRef-Long_propu</f>
        <v>1462</v>
      </c>
      <c r="N49" s="75"/>
    </row>
    <row r="50" spans="2:14" x14ac:dyDescent="0.2">
      <c r="B50" s="74"/>
      <c r="D50" s="276" t="s">
        <v>149</v>
      </c>
      <c r="E50" s="272" t="str">
        <f>Forme_ogive</f>
        <v>Conique (droite)</v>
      </c>
      <c r="F50" s="273" t="s">
        <v>186</v>
      </c>
      <c r="G50" s="275" t="s">
        <v>5</v>
      </c>
      <c r="H50" s="246">
        <f>Cx</f>
        <v>0.6</v>
      </c>
      <c r="I50" s="265"/>
      <c r="J50" s="266"/>
      <c r="N50" s="75"/>
    </row>
    <row r="51" spans="2:14" x14ac:dyDescent="0.2">
      <c r="B51" s="74"/>
      <c r="D51" s="276" t="s">
        <v>145</v>
      </c>
      <c r="E51" s="244">
        <f>Long_tot</f>
        <v>1950</v>
      </c>
      <c r="G51" s="276" t="s">
        <v>215</v>
      </c>
      <c r="H51" s="6">
        <f>Sref</f>
        <v>7.7817694409323948E-3</v>
      </c>
      <c r="J51" s="267"/>
      <c r="N51" s="75"/>
    </row>
    <row r="52" spans="2:14" x14ac:dyDescent="0.2">
      <c r="B52" s="74"/>
      <c r="D52" s="276" t="s">
        <v>199</v>
      </c>
      <c r="E52" s="244">
        <f>MAX(D_ref,D_ail,D_og,(RIGHT(Nb_diam,1)=",")*MAX(D1j,D1r,D2j,D2r))</f>
        <v>84</v>
      </c>
      <c r="G52" s="276" t="s">
        <v>216</v>
      </c>
      <c r="H52" s="6">
        <f>Beta_rampe</f>
        <v>85</v>
      </c>
      <c r="I52" s="6">
        <v>80</v>
      </c>
      <c r="J52" s="244">
        <v>90</v>
      </c>
      <c r="N52" s="75"/>
    </row>
    <row r="53" spans="2:14" x14ac:dyDescent="0.2">
      <c r="B53" s="74"/>
      <c r="D53" s="277" t="s">
        <v>200</v>
      </c>
      <c r="E53" s="260">
        <f>E_ail*2+D_ail</f>
        <v>364</v>
      </c>
      <c r="G53" s="278" t="s">
        <v>218</v>
      </c>
      <c r="H53" s="247">
        <f ca="1">Temps_culmi</f>
        <v>18.799999999999955</v>
      </c>
      <c r="I53" s="259"/>
      <c r="J53" s="268"/>
      <c r="N53" s="75"/>
    </row>
    <row r="54" spans="2:14" x14ac:dyDescent="0.2">
      <c r="B54" s="74"/>
      <c r="G54" s="278" t="s">
        <v>219</v>
      </c>
      <c r="H54" s="242">
        <f ca="1">Altitude_culmi</f>
        <v>1926.6040134102664</v>
      </c>
      <c r="I54" s="259"/>
      <c r="J54" s="268"/>
      <c r="N54" s="75"/>
    </row>
    <row r="55" spans="2:14" x14ac:dyDescent="0.2">
      <c r="B55" s="74"/>
      <c r="C55" s="275" t="s">
        <v>236</v>
      </c>
      <c r="D55" s="249" t="s">
        <v>63</v>
      </c>
      <c r="E55" s="243">
        <f>Long_tot</f>
        <v>1950</v>
      </c>
      <c r="G55" s="278" t="s">
        <v>220</v>
      </c>
      <c r="H55" s="248">
        <f ca="1">Vit_culmi</f>
        <v>14.284654798891694</v>
      </c>
      <c r="I55" s="259"/>
      <c r="J55" s="268"/>
      <c r="N55" s="75"/>
    </row>
    <row r="56" spans="2:14" x14ac:dyDescent="0.2">
      <c r="B56" s="74"/>
      <c r="C56" s="276"/>
      <c r="D56" s="2" t="s">
        <v>222</v>
      </c>
      <c r="E56" s="244">
        <f>MAX(D_ref,D_ail,D_og,(RIGHT(Nb_diam,1)=",")*MAX(D1j,D1r,D2j,D2r))</f>
        <v>84</v>
      </c>
      <c r="G56" s="278" t="s">
        <v>136</v>
      </c>
      <c r="H56" s="242">
        <f ca="1">Portee_balistique</f>
        <v>568.62651553779426</v>
      </c>
      <c r="I56" s="259"/>
      <c r="J56" s="268"/>
      <c r="N56" s="75"/>
    </row>
    <row r="57" spans="2:14" x14ac:dyDescent="0.2">
      <c r="B57" s="74"/>
      <c r="C57" s="276"/>
      <c r="D57" s="2" t="s">
        <v>223</v>
      </c>
      <c r="E57" s="244">
        <f>E_ail*2+D_ail</f>
        <v>364</v>
      </c>
      <c r="G57" s="278" t="s">
        <v>217</v>
      </c>
      <c r="H57" s="242">
        <f ca="1">T_balistique</f>
        <v>41.400000000000276</v>
      </c>
      <c r="I57" s="259"/>
      <c r="J57" s="268"/>
      <c r="N57" s="75"/>
    </row>
    <row r="58" spans="2:14" x14ac:dyDescent="0.2">
      <c r="B58" s="74"/>
      <c r="C58" s="276"/>
      <c r="D58" s="2" t="s">
        <v>224</v>
      </c>
      <c r="E58" s="244">
        <f ca="1">MassePlein</f>
        <v>7.1850000000000005</v>
      </c>
      <c r="G58" s="278" t="s">
        <v>140</v>
      </c>
      <c r="H58" s="248">
        <f ca="1">Vit_max</f>
        <v>236.13002728479427</v>
      </c>
      <c r="I58" s="259"/>
      <c r="J58" s="268"/>
      <c r="N58" s="75"/>
    </row>
    <row r="59" spans="2:14" x14ac:dyDescent="0.2">
      <c r="B59" s="74"/>
      <c r="C59" s="277" t="s">
        <v>237</v>
      </c>
      <c r="D59" s="255" t="s">
        <v>148</v>
      </c>
      <c r="E59" s="260">
        <f>Q_ail</f>
        <v>4</v>
      </c>
      <c r="G59" s="278" t="s">
        <v>139</v>
      </c>
      <c r="H59" s="242">
        <f ca="1">Acc_max</f>
        <v>114.63589403483726</v>
      </c>
      <c r="I59" s="259"/>
      <c r="J59" s="268"/>
      <c r="N59" s="75"/>
    </row>
    <row r="60" spans="2:14" x14ac:dyDescent="0.2">
      <c r="B60" s="74"/>
      <c r="C60" s="12"/>
      <c r="G60" s="269" t="s">
        <v>225</v>
      </c>
      <c r="H60" s="270"/>
      <c r="I60" s="270"/>
      <c r="J60" s="271"/>
      <c r="N60" s="75"/>
    </row>
    <row r="61" spans="2:14" x14ac:dyDescent="0.2">
      <c r="B61" s="74"/>
      <c r="C61" s="275"/>
      <c r="D61" s="249"/>
      <c r="E61" s="246" t="s">
        <v>229</v>
      </c>
      <c r="F61" s="243" t="s">
        <v>230</v>
      </c>
      <c r="G61" s="2"/>
      <c r="H61" s="2"/>
      <c r="I61" s="2"/>
      <c r="J61" s="2"/>
      <c r="K61" s="2"/>
      <c r="N61" s="75"/>
    </row>
    <row r="62" spans="2:14" x14ac:dyDescent="0.2">
      <c r="B62" s="74"/>
      <c r="C62" s="276" t="s">
        <v>238</v>
      </c>
      <c r="D62" s="2" t="s">
        <v>228</v>
      </c>
      <c r="E62" s="242">
        <f ca="1">2*Acc_max*MassePlein</f>
        <v>1647.3177972806116</v>
      </c>
      <c r="F62" s="280">
        <f ca="1">E62/9.81</f>
        <v>167.9223034944558</v>
      </c>
      <c r="H62" s="2"/>
      <c r="I62" s="2"/>
      <c r="J62" s="2"/>
      <c r="K62" s="2"/>
      <c r="N62" s="75"/>
    </row>
    <row r="63" spans="2:14" x14ac:dyDescent="0.2">
      <c r="B63" s="74"/>
      <c r="C63" s="276"/>
      <c r="D63" s="2" t="s">
        <v>226</v>
      </c>
      <c r="E63" s="242">
        <f ca="1">2*Acc_max*Masse_ail</f>
        <v>46.221192474846383</v>
      </c>
      <c r="F63" s="248">
        <f ca="1">E63/9.81</f>
        <v>4.711640415376797</v>
      </c>
      <c r="G63" s="246" t="s">
        <v>232</v>
      </c>
      <c r="H63" s="288">
        <f>S_ail*(ep_ail/1000)*2000</f>
        <v>0.2016</v>
      </c>
      <c r="I63" s="2"/>
      <c r="J63" s="2"/>
      <c r="K63" s="2"/>
      <c r="N63" s="75"/>
    </row>
    <row r="64" spans="2:14" x14ac:dyDescent="0.2">
      <c r="B64" s="74"/>
      <c r="C64" s="277"/>
      <c r="D64" s="255" t="s">
        <v>227</v>
      </c>
      <c r="E64" s="263">
        <f ca="1">0.104*S_ail*Vit_max^2</f>
        <v>146.12896714988474</v>
      </c>
      <c r="F64" s="281">
        <f ca="1">E64/9.81</f>
        <v>14.895919179397017</v>
      </c>
      <c r="G64" s="274" t="s">
        <v>231</v>
      </c>
      <c r="H64" s="289">
        <f>(E_ail*(m_ail+n_ail)/2)/10^6</f>
        <v>2.52E-2</v>
      </c>
      <c r="I64" s="2"/>
      <c r="J64" s="2"/>
      <c r="K64" s="2"/>
      <c r="N64" s="75"/>
    </row>
    <row r="65" spans="2:14" x14ac:dyDescent="0.2">
      <c r="B65" s="74"/>
      <c r="C65" s="282" t="s">
        <v>245</v>
      </c>
      <c r="D65" s="285" t="s">
        <v>243</v>
      </c>
      <c r="E65" s="286">
        <f ca="1">2*Acc_max*H65</f>
        <v>823.65889864030578</v>
      </c>
      <c r="F65" s="286">
        <f ca="1">E65/9.81</f>
        <v>83.961151747227902</v>
      </c>
      <c r="G65" s="287" t="s">
        <v>244</v>
      </c>
      <c r="H65" s="279">
        <f ca="1">E58/2</f>
        <v>3.5925000000000002</v>
      </c>
      <c r="I65" s="2"/>
      <c r="J65" s="2"/>
      <c r="K65" s="2"/>
      <c r="N65" s="75"/>
    </row>
    <row r="66" spans="2:14" x14ac:dyDescent="0.2">
      <c r="B66" s="74"/>
      <c r="C66" s="6"/>
      <c r="D66" s="2"/>
      <c r="E66" s="2"/>
      <c r="F66" s="2"/>
      <c r="G66" s="2"/>
      <c r="H66" s="2"/>
      <c r="I66" s="2"/>
      <c r="J66" s="2"/>
      <c r="K66" s="2"/>
      <c r="N66" s="75"/>
    </row>
    <row r="67" spans="2:14" x14ac:dyDescent="0.2">
      <c r="B67" s="74"/>
      <c r="F67" s="275" t="s">
        <v>235</v>
      </c>
      <c r="G67" s="249" t="s">
        <v>233</v>
      </c>
      <c r="H67" s="250">
        <f>T_para</f>
        <v>19</v>
      </c>
      <c r="I67" s="251">
        <f ca="1">Temps_culmi</f>
        <v>18.799999999999955</v>
      </c>
      <c r="J67" s="2"/>
      <c r="K67" s="2"/>
      <c r="N67" s="75"/>
    </row>
    <row r="68" spans="2:14" x14ac:dyDescent="0.2">
      <c r="B68" s="74"/>
      <c r="C68" s="6"/>
      <c r="D68" s="2"/>
      <c r="E68" s="2"/>
      <c r="F68" s="275" t="s">
        <v>234</v>
      </c>
      <c r="G68" s="249" t="s">
        <v>132</v>
      </c>
      <c r="H68" s="250">
        <f ca="1">V_para</f>
        <v>8.0859727600011446</v>
      </c>
      <c r="I68" s="251">
        <f>V_satellite</f>
        <v>12.655562623057198</v>
      </c>
      <c r="J68" s="2"/>
      <c r="K68" s="2"/>
      <c r="N68" s="75"/>
    </row>
    <row r="69" spans="2:14" x14ac:dyDescent="0.2">
      <c r="B69" s="74"/>
      <c r="C69" s="6"/>
      <c r="D69" s="2"/>
      <c r="E69" s="2"/>
      <c r="F69" s="276"/>
      <c r="G69" s="2" t="s">
        <v>240</v>
      </c>
      <c r="H69" s="247">
        <f>S_para</f>
        <v>1.5070049999999999</v>
      </c>
      <c r="I69" s="253">
        <f>S_satellite</f>
        <v>0.1</v>
      </c>
      <c r="J69" s="2"/>
      <c r="K69" s="2"/>
      <c r="N69" s="75"/>
    </row>
    <row r="70" spans="2:14" x14ac:dyDescent="0.2">
      <c r="B70" s="74"/>
      <c r="C70" s="226"/>
      <c r="D70" s="2"/>
      <c r="F70" s="276"/>
      <c r="G70" s="2" t="s">
        <v>239</v>
      </c>
      <c r="H70" s="247">
        <f ca="1">V_ouverture</f>
        <v>14.374462777146512</v>
      </c>
      <c r="I70" s="253">
        <f ca="1">V_ouv_sat</f>
        <v>232.53425817157836</v>
      </c>
      <c r="N70" s="75"/>
    </row>
    <row r="71" spans="2:14" x14ac:dyDescent="0.2">
      <c r="B71" s="74"/>
      <c r="C71" s="226"/>
      <c r="F71" s="276"/>
      <c r="G71" s="2" t="s">
        <v>204</v>
      </c>
      <c r="H71" s="247">
        <f ca="1">m_vide</f>
        <v>6.1520000000000001</v>
      </c>
      <c r="I71" s="253">
        <f>m_satellite</f>
        <v>1</v>
      </c>
      <c r="N71" s="75"/>
    </row>
    <row r="72" spans="2:14" x14ac:dyDescent="0.2">
      <c r="B72" s="74"/>
      <c r="C72" s="226"/>
      <c r="F72" s="276"/>
      <c r="G72" s="2" t="s">
        <v>241</v>
      </c>
      <c r="H72" s="283">
        <f ca="1">1/2*Rho_moyen*S_para*V_ouverture^2</f>
        <v>190.72342249530874</v>
      </c>
      <c r="I72" s="284">
        <f ca="1">1/2*Rho_moyen*S_satellite*V_ouv_sat^2</f>
        <v>3311.9210999336337</v>
      </c>
      <c r="N72" s="75"/>
    </row>
    <row r="73" spans="2:14" x14ac:dyDescent="0.2">
      <c r="B73" s="74"/>
      <c r="D73" s="2"/>
      <c r="F73" s="277"/>
      <c r="G73" s="255" t="s">
        <v>242</v>
      </c>
      <c r="H73" s="256">
        <f ca="1">H72/9.81</f>
        <v>19.441735218685906</v>
      </c>
      <c r="I73" s="257">
        <f ca="1">I72/9.81</f>
        <v>337.60663607886175</v>
      </c>
      <c r="N73" s="75"/>
    </row>
    <row r="74" spans="2:14" ht="13.5" thickBot="1" x14ac:dyDescent="0.25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</row>
    <row r="76" spans="2:14" ht="13.5" thickBot="1" x14ac:dyDescent="0.25"/>
    <row r="77" spans="2:14" x14ac:dyDescent="0.2">
      <c r="B77" s="71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3"/>
    </row>
    <row r="78" spans="2:14" x14ac:dyDescent="0.2">
      <c r="B78" s="74"/>
      <c r="D78" s="2" t="s">
        <v>337</v>
      </c>
      <c r="N78" s="75"/>
    </row>
    <row r="79" spans="2:14" ht="12.75" customHeight="1" x14ac:dyDescent="0.25">
      <c r="B79" s="74"/>
      <c r="E79" s="48"/>
      <c r="F79" s="48"/>
      <c r="G79" s="435" t="s">
        <v>343</v>
      </c>
      <c r="I79" s="448"/>
      <c r="J79" s="48"/>
      <c r="K79" s="48"/>
      <c r="N79" s="75"/>
    </row>
    <row r="80" spans="2:14" x14ac:dyDescent="0.2">
      <c r="B80" s="74"/>
      <c r="C80" s="275" t="s">
        <v>338</v>
      </c>
      <c r="D80" s="243" t="str">
        <f>Nom</f>
        <v>SP-02-alpha</v>
      </c>
      <c r="E80" s="48"/>
      <c r="F80" s="48"/>
      <c r="G80" s="48"/>
      <c r="H80" s="48"/>
      <c r="I80" s="48"/>
      <c r="J80" s="48"/>
      <c r="K80" s="48"/>
      <c r="N80" s="75"/>
    </row>
    <row r="81" spans="2:14" ht="13.5" thickBot="1" x14ac:dyDescent="0.25">
      <c r="B81" s="74"/>
      <c r="C81" s="276" t="s">
        <v>4</v>
      </c>
      <c r="D81" s="244" t="str">
        <f>Club</f>
        <v>l'AéroIPSA</v>
      </c>
      <c r="E81" s="48"/>
      <c r="F81" s="48"/>
      <c r="G81" s="48"/>
      <c r="H81" s="48"/>
      <c r="I81" s="48"/>
      <c r="J81" s="48"/>
      <c r="K81" s="48"/>
      <c r="N81" s="75"/>
    </row>
    <row r="82" spans="2:14" ht="13.5" thickBot="1" x14ac:dyDescent="0.25">
      <c r="B82" s="74"/>
      <c r="C82" s="432" t="s">
        <v>339</v>
      </c>
      <c r="D82" s="244" t="s">
        <v>14</v>
      </c>
      <c r="E82" s="273" t="s">
        <v>344</v>
      </c>
      <c r="F82" s="441">
        <f>Long_ogive</f>
        <v>200</v>
      </c>
      <c r="G82" s="48"/>
      <c r="H82" s="48"/>
      <c r="I82" s="48"/>
      <c r="J82" s="48"/>
      <c r="K82" s="48"/>
      <c r="N82" s="75"/>
    </row>
    <row r="83" spans="2:14" x14ac:dyDescent="0.2">
      <c r="B83" s="74"/>
      <c r="C83" s="277" t="s">
        <v>340</v>
      </c>
      <c r="D83" s="433">
        <f ca="1">TODAY()</f>
        <v>45775</v>
      </c>
      <c r="E83" s="48"/>
      <c r="F83" s="436"/>
      <c r="G83" s="48"/>
      <c r="H83" s="48"/>
      <c r="I83" s="48"/>
      <c r="J83" s="48"/>
      <c r="K83" s="48"/>
      <c r="N83" s="75"/>
    </row>
    <row r="84" spans="2:14" ht="13.5" thickBot="1" x14ac:dyDescent="0.25">
      <c r="B84" s="74"/>
      <c r="E84" s="48"/>
      <c r="F84" s="436"/>
      <c r="G84" s="48"/>
      <c r="H84" s="48"/>
      <c r="I84" s="48"/>
      <c r="J84" s="440">
        <f>IF(RIGHT(Nb_diam,1)=",", "", X_j)</f>
        <v>900</v>
      </c>
      <c r="K84" s="48"/>
      <c r="N84" s="75"/>
    </row>
    <row r="85" spans="2:14" ht="13.5" thickBot="1" x14ac:dyDescent="0.25">
      <c r="B85" s="74"/>
      <c r="C85" s="275" t="s">
        <v>341</v>
      </c>
      <c r="D85" s="243" t="str">
        <f>Propu</f>
        <v>Barasinga (Pro54-5G)</v>
      </c>
      <c r="E85" s="273" t="s">
        <v>345</v>
      </c>
      <c r="F85" s="441">
        <f>D_og</f>
        <v>84</v>
      </c>
      <c r="G85" s="48"/>
      <c r="H85" s="48"/>
      <c r="I85" s="48"/>
      <c r="J85" s="436"/>
      <c r="K85" s="48"/>
      <c r="N85" s="75"/>
    </row>
    <row r="86" spans="2:14" x14ac:dyDescent="0.2">
      <c r="B86" s="74"/>
      <c r="C86" s="277" t="s">
        <v>342</v>
      </c>
      <c r="D86" s="260" t="s">
        <v>14</v>
      </c>
      <c r="E86" s="48"/>
      <c r="F86" s="436"/>
      <c r="G86" s="48"/>
      <c r="H86" s="48"/>
      <c r="I86" s="48"/>
      <c r="J86" s="440">
        <f>IF(RIGHT(Nb_diam,1)=",", "", X_r)</f>
        <v>1900</v>
      </c>
      <c r="K86" s="48"/>
      <c r="N86" s="75"/>
    </row>
    <row r="87" spans="2:14" x14ac:dyDescent="0.2">
      <c r="B87" s="74"/>
      <c r="E87" s="48"/>
      <c r="F87" s="436"/>
      <c r="G87" s="48"/>
      <c r="H87" s="48"/>
      <c r="I87" s="48"/>
      <c r="J87" s="436"/>
      <c r="K87" s="48"/>
      <c r="N87" s="75"/>
    </row>
    <row r="88" spans="2:14" x14ac:dyDescent="0.2">
      <c r="B88" s="74"/>
      <c r="E88" s="48"/>
      <c r="F88" s="436"/>
      <c r="G88" s="48"/>
      <c r="H88" s="48"/>
      <c r="I88" s="48"/>
      <c r="J88" s="440">
        <f>IF(RIGHT(Nb_diam,1)=",", "", l_j)</f>
        <v>150</v>
      </c>
      <c r="K88" s="48"/>
      <c r="N88" s="75"/>
    </row>
    <row r="89" spans="2:14" ht="13.5" thickBot="1" x14ac:dyDescent="0.25">
      <c r="B89" s="74"/>
      <c r="E89" s="48"/>
      <c r="F89" s="436"/>
      <c r="G89" s="48"/>
      <c r="H89" s="48"/>
      <c r="I89" s="48"/>
      <c r="J89" s="436"/>
      <c r="K89" s="48"/>
      <c r="N89" s="75"/>
    </row>
    <row r="90" spans="2:14" ht="13.5" thickBot="1" x14ac:dyDescent="0.25">
      <c r="B90" s="74"/>
      <c r="E90" s="434" t="s">
        <v>346</v>
      </c>
      <c r="F90" s="440">
        <f>IF(RIGHT(Nb_diam,1)=",", "", D2j)</f>
        <v>84</v>
      </c>
      <c r="G90" s="48"/>
      <c r="H90" s="48"/>
      <c r="I90" s="48"/>
      <c r="J90" s="441">
        <f>X_ail-m_ail</f>
        <v>1780</v>
      </c>
      <c r="K90" s="2"/>
      <c r="N90" s="75"/>
    </row>
    <row r="91" spans="2:14" x14ac:dyDescent="0.2">
      <c r="B91" s="74"/>
      <c r="E91" s="48"/>
      <c r="F91" s="436"/>
      <c r="G91" s="48"/>
      <c r="H91" s="48"/>
      <c r="I91" s="48"/>
      <c r="J91" s="436"/>
      <c r="K91" s="48"/>
      <c r="N91" s="75"/>
    </row>
    <row r="92" spans="2:14" x14ac:dyDescent="0.2">
      <c r="B92" s="74"/>
      <c r="E92" s="48"/>
      <c r="F92" s="436"/>
      <c r="G92" s="48"/>
      <c r="H92" s="48"/>
      <c r="I92" s="48"/>
      <c r="J92" s="440">
        <f>IF(RIGHT(Nb_diam,1)=",", "", l_r)</f>
        <v>50</v>
      </c>
      <c r="K92" s="48"/>
      <c r="N92" s="75"/>
    </row>
    <row r="93" spans="2:14" x14ac:dyDescent="0.2">
      <c r="B93" s="74"/>
      <c r="E93" s="48"/>
      <c r="F93" s="436"/>
      <c r="G93" s="48"/>
      <c r="H93" s="48"/>
      <c r="I93" s="48"/>
      <c r="J93" s="436"/>
      <c r="K93" s="48"/>
      <c r="N93" s="75"/>
    </row>
    <row r="94" spans="2:14" x14ac:dyDescent="0.2">
      <c r="B94" s="74"/>
      <c r="E94" s="434" t="s">
        <v>347</v>
      </c>
      <c r="F94" s="440">
        <f>IF(RIGHT(Nb_diam,1)=",", "", D2r)</f>
        <v>84</v>
      </c>
      <c r="G94" s="48"/>
      <c r="H94" s="48"/>
      <c r="I94" s="48"/>
      <c r="J94" s="436"/>
      <c r="K94" s="48"/>
      <c r="N94" s="75"/>
    </row>
    <row r="95" spans="2:14" x14ac:dyDescent="0.2">
      <c r="B95" s="74"/>
      <c r="E95" s="48"/>
      <c r="F95" s="436"/>
      <c r="G95" s="48"/>
      <c r="H95" s="48"/>
      <c r="I95" s="48"/>
      <c r="J95" s="436"/>
      <c r="K95" s="48"/>
      <c r="N95" s="75"/>
    </row>
    <row r="96" spans="2:14" ht="13.5" thickBot="1" x14ac:dyDescent="0.25">
      <c r="B96" s="74"/>
      <c r="E96" s="48"/>
      <c r="F96" s="436"/>
      <c r="G96" s="48"/>
      <c r="H96" s="48"/>
      <c r="I96" s="48"/>
      <c r="J96" s="436"/>
      <c r="K96" s="48"/>
      <c r="N96" s="75"/>
    </row>
    <row r="97" spans="2:14" ht="13.5" thickBot="1" x14ac:dyDescent="0.25">
      <c r="B97" s="74"/>
      <c r="E97" s="273" t="s">
        <v>348</v>
      </c>
      <c r="F97" s="441">
        <f>m_ail</f>
        <v>170</v>
      </c>
      <c r="G97" s="48"/>
      <c r="H97" s="48"/>
      <c r="I97" s="48"/>
      <c r="J97" s="441">
        <f>p_ail</f>
        <v>40</v>
      </c>
      <c r="K97" s="2"/>
      <c r="N97" s="75"/>
    </row>
    <row r="98" spans="2:14" x14ac:dyDescent="0.2">
      <c r="B98" s="74"/>
      <c r="E98" s="48"/>
      <c r="F98" s="48"/>
      <c r="G98" s="48"/>
      <c r="H98" s="48"/>
      <c r="I98" s="48"/>
      <c r="J98" s="436"/>
      <c r="K98" s="48"/>
      <c r="N98" s="75"/>
    </row>
    <row r="99" spans="2:14" x14ac:dyDescent="0.2">
      <c r="B99" s="74"/>
      <c r="E99" s="48"/>
      <c r="F99" s="48"/>
      <c r="G99" s="48"/>
      <c r="H99" s="48"/>
      <c r="I99" s="48"/>
      <c r="J99" s="436"/>
      <c r="K99" s="48"/>
      <c r="N99" s="75"/>
    </row>
    <row r="100" spans="2:14" ht="13.5" thickBot="1" x14ac:dyDescent="0.25">
      <c r="B100" s="74"/>
      <c r="D100" s="429" t="s">
        <v>350</v>
      </c>
      <c r="E100" s="246">
        <f>Q_ail</f>
        <v>4</v>
      </c>
      <c r="F100" s="430"/>
      <c r="G100" s="48"/>
      <c r="H100" s="48"/>
      <c r="I100" s="48"/>
      <c r="J100" s="436"/>
      <c r="K100" s="48"/>
      <c r="N100" s="75"/>
    </row>
    <row r="101" spans="2:14" ht="13.5" thickBot="1" x14ac:dyDescent="0.25">
      <c r="B101" s="74"/>
      <c r="D101" s="437" t="s">
        <v>354</v>
      </c>
      <c r="E101" s="6">
        <f ca="1">XpropuRef-Long_propu</f>
        <v>1462</v>
      </c>
      <c r="F101" s="252"/>
      <c r="G101" s="48"/>
      <c r="H101" s="48"/>
      <c r="I101" s="48"/>
      <c r="J101" s="441">
        <f>n_ail</f>
        <v>190</v>
      </c>
      <c r="K101" s="2"/>
      <c r="N101" s="75"/>
    </row>
    <row r="102" spans="2:14" x14ac:dyDescent="0.2">
      <c r="B102" s="74"/>
      <c r="D102" s="437" t="s">
        <v>351</v>
      </c>
      <c r="E102" s="6">
        <f>IF(LEFT(Forme_ogive,4)="Ogiv",1,0)</f>
        <v>0</v>
      </c>
      <c r="F102" s="252" t="s">
        <v>352</v>
      </c>
      <c r="G102" s="48"/>
      <c r="H102" s="48"/>
      <c r="I102" s="48"/>
      <c r="J102" s="436"/>
      <c r="K102" s="48"/>
      <c r="N102" s="75"/>
    </row>
    <row r="103" spans="2:14" x14ac:dyDescent="0.2">
      <c r="B103" s="74"/>
      <c r="D103" s="437"/>
      <c r="E103" s="6">
        <f>IF(LEFT(Forme_ogive,3)="Con",1,0)</f>
        <v>1</v>
      </c>
      <c r="F103" s="252" t="s">
        <v>162</v>
      </c>
      <c r="G103" s="48"/>
      <c r="H103" s="48"/>
      <c r="I103" s="48"/>
      <c r="J103" s="436"/>
      <c r="K103" s="48"/>
      <c r="N103" s="75"/>
    </row>
    <row r="104" spans="2:14" ht="13.5" thickBot="1" x14ac:dyDescent="0.25">
      <c r="B104" s="74"/>
      <c r="D104" s="431"/>
      <c r="E104" s="274">
        <f>IF(LEFT(Forme_ogive,5)="Parab",1,0)</f>
        <v>0</v>
      </c>
      <c r="F104" s="289" t="s">
        <v>353</v>
      </c>
      <c r="G104" s="48"/>
      <c r="H104" s="48"/>
      <c r="I104" s="48"/>
      <c r="J104" s="12" t="s">
        <v>349</v>
      </c>
      <c r="K104" s="48"/>
      <c r="N104" s="75"/>
    </row>
    <row r="105" spans="2:14" ht="13.5" thickBot="1" x14ac:dyDescent="0.25">
      <c r="B105" s="74"/>
      <c r="D105" s="2"/>
      <c r="E105" s="2"/>
      <c r="F105" s="2"/>
      <c r="G105" s="273"/>
      <c r="H105" s="441">
        <f>E_ail</f>
        <v>140</v>
      </c>
      <c r="I105" s="273"/>
      <c r="J105" s="441">
        <f>ep_ail</f>
        <v>4</v>
      </c>
      <c r="K105" s="48"/>
      <c r="N105" s="75"/>
    </row>
    <row r="106" spans="2:14" x14ac:dyDescent="0.2">
      <c r="B106" s="74"/>
      <c r="D106" s="429"/>
      <c r="E106" s="246" t="s">
        <v>358</v>
      </c>
      <c r="F106" s="243" t="s">
        <v>357</v>
      </c>
      <c r="N106" s="75"/>
    </row>
    <row r="107" spans="2:14" x14ac:dyDescent="0.2">
      <c r="B107" s="74"/>
      <c r="D107" s="437" t="s">
        <v>355</v>
      </c>
      <c r="E107" s="6">
        <f>MasseSans</f>
        <v>5.5</v>
      </c>
      <c r="F107" s="244">
        <f ca="1">MassePlein</f>
        <v>7.1850000000000005</v>
      </c>
      <c r="N107" s="75"/>
    </row>
    <row r="108" spans="2:14" x14ac:dyDescent="0.2">
      <c r="B108" s="74"/>
      <c r="D108" s="431" t="s">
        <v>356</v>
      </c>
      <c r="E108" s="274">
        <f>XcgSans</f>
        <v>950</v>
      </c>
      <c r="F108" s="260">
        <f ca="1">XcgPlein</f>
        <v>1128.7014613778706</v>
      </c>
      <c r="N108" s="75"/>
    </row>
    <row r="109" spans="2:14" x14ac:dyDescent="0.2">
      <c r="B109" s="74"/>
      <c r="N109" s="75"/>
    </row>
    <row r="110" spans="2:14" x14ac:dyDescent="0.2">
      <c r="B110" s="74"/>
      <c r="D110" s="438" t="s">
        <v>359</v>
      </c>
      <c r="E110" s="439">
        <f ca="1">MasseVide</f>
        <v>6.1520000000000001</v>
      </c>
      <c r="G110" s="429" t="s">
        <v>360</v>
      </c>
      <c r="H110" s="265"/>
      <c r="I110" s="265"/>
      <c r="J110" s="266"/>
      <c r="N110" s="75"/>
    </row>
    <row r="111" spans="2:14" x14ac:dyDescent="0.2">
      <c r="B111" s="74"/>
      <c r="G111" s="276" t="s">
        <v>216</v>
      </c>
      <c r="H111" s="6">
        <f>Beta_rampe</f>
        <v>85</v>
      </c>
      <c r="I111" s="6">
        <v>80</v>
      </c>
      <c r="J111" s="244">
        <v>90</v>
      </c>
      <c r="N111" s="75"/>
    </row>
    <row r="112" spans="2:14" x14ac:dyDescent="0.2">
      <c r="B112" s="74"/>
      <c r="G112" s="278" t="s">
        <v>218</v>
      </c>
      <c r="H112" s="247">
        <f ca="1">Temps_culmi</f>
        <v>18.799999999999955</v>
      </c>
      <c r="I112" s="259"/>
      <c r="J112" s="268"/>
      <c r="N112" s="75"/>
    </row>
    <row r="113" spans="2:14" ht="12.75" customHeight="1" x14ac:dyDescent="0.25">
      <c r="B113" s="74"/>
      <c r="D113" s="435" t="s">
        <v>361</v>
      </c>
      <c r="E113" s="48"/>
      <c r="G113" s="278" t="s">
        <v>219</v>
      </c>
      <c r="H113" s="242">
        <f ca="1">Altitude_culmi</f>
        <v>1926.6040134102664</v>
      </c>
      <c r="I113" s="259"/>
      <c r="J113" s="268"/>
      <c r="N113" s="75"/>
    </row>
    <row r="114" spans="2:14" ht="12.75" customHeight="1" x14ac:dyDescent="0.25">
      <c r="B114" s="74"/>
      <c r="D114" s="48"/>
      <c r="E114" s="48"/>
      <c r="F114" s="435"/>
      <c r="G114" s="278" t="s">
        <v>220</v>
      </c>
      <c r="H114" s="248">
        <f ca="1">Vit_culmi</f>
        <v>14.284654798891694</v>
      </c>
      <c r="I114" s="259"/>
      <c r="J114" s="268"/>
      <c r="N114" s="75"/>
    </row>
    <row r="115" spans="2:14" x14ac:dyDescent="0.2">
      <c r="B115" s="74"/>
      <c r="C115" s="429" t="s">
        <v>362</v>
      </c>
      <c r="D115" s="249"/>
      <c r="E115" s="446">
        <v>0.1</v>
      </c>
      <c r="G115" s="278" t="s">
        <v>136</v>
      </c>
      <c r="H115" s="242">
        <f ca="1">Portee_balistique</f>
        <v>568.62651553779426</v>
      </c>
      <c r="I115" s="259"/>
      <c r="J115" s="268"/>
      <c r="N115" s="75"/>
    </row>
    <row r="116" spans="2:14" ht="12.75" customHeight="1" x14ac:dyDescent="0.2">
      <c r="B116" s="74"/>
      <c r="C116" s="431" t="s">
        <v>363</v>
      </c>
      <c r="D116" s="255"/>
      <c r="E116" s="447">
        <f>E_ail*(m_ail+n_ail)/2</f>
        <v>25200</v>
      </c>
      <c r="G116" s="278" t="s">
        <v>140</v>
      </c>
      <c r="H116" s="248">
        <f ca="1">Vit_max</f>
        <v>236.13002728479427</v>
      </c>
      <c r="I116" s="259"/>
      <c r="J116" s="268"/>
      <c r="N116" s="75"/>
    </row>
    <row r="117" spans="2:14" ht="12.75" customHeight="1" x14ac:dyDescent="0.2">
      <c r="B117" s="74"/>
      <c r="D117" s="48"/>
      <c r="E117" s="48"/>
      <c r="F117" s="48"/>
      <c r="G117" s="278" t="s">
        <v>139</v>
      </c>
      <c r="H117" s="242">
        <f ca="1">Acc_max</f>
        <v>114.63589403483726</v>
      </c>
      <c r="I117" s="259"/>
      <c r="J117" s="268"/>
      <c r="N117" s="75"/>
    </row>
    <row r="118" spans="2:14" x14ac:dyDescent="0.2">
      <c r="B118" s="74"/>
      <c r="C118" s="429" t="s">
        <v>364</v>
      </c>
      <c r="D118" s="249"/>
      <c r="E118" s="457"/>
      <c r="F118" s="458">
        <f>J90/100</f>
        <v>17.8</v>
      </c>
      <c r="G118" s="276" t="s">
        <v>5</v>
      </c>
      <c r="H118" s="6">
        <f>Cx</f>
        <v>0.6</v>
      </c>
      <c r="I118" s="259"/>
      <c r="J118" s="268"/>
      <c r="N118" s="75"/>
    </row>
    <row r="119" spans="2:14" x14ac:dyDescent="0.2">
      <c r="B119" s="74"/>
      <c r="C119" s="437" t="s">
        <v>365</v>
      </c>
      <c r="D119" s="2"/>
      <c r="E119" s="459">
        <f ca="1">2*Acc_max*MasseSans</f>
        <v>1260.99483438321</v>
      </c>
      <c r="F119" s="460">
        <f ca="1">E119/g</f>
        <v>128.54177720522017</v>
      </c>
      <c r="G119" s="269" t="s">
        <v>225</v>
      </c>
      <c r="H119" s="270"/>
      <c r="I119" s="270"/>
      <c r="J119" s="271"/>
      <c r="N119" s="75"/>
    </row>
    <row r="120" spans="2:14" x14ac:dyDescent="0.2">
      <c r="B120" s="74"/>
      <c r="C120" s="437" t="s">
        <v>366</v>
      </c>
      <c r="D120" s="2"/>
      <c r="E120" s="459">
        <f ca="1">2*Acc_max*E115</f>
        <v>22.927178806967454</v>
      </c>
      <c r="F120" s="460">
        <f ca="1">E120/g</f>
        <v>2.3371232219130942</v>
      </c>
      <c r="N120" s="75"/>
    </row>
    <row r="121" spans="2:14" x14ac:dyDescent="0.2">
      <c r="B121" s="74"/>
      <c r="C121" s="431" t="s">
        <v>367</v>
      </c>
      <c r="D121" s="255"/>
      <c r="E121" s="452">
        <f ca="1">0.104*E116/1000000*Vit_max^2</f>
        <v>146.12896714988472</v>
      </c>
      <c r="F121" s="453">
        <f ca="1">E121/g</f>
        <v>14.895919179397014</v>
      </c>
      <c r="G121" s="48"/>
      <c r="H121" s="48"/>
      <c r="I121" s="48"/>
      <c r="J121" s="48"/>
      <c r="N121" s="75"/>
    </row>
    <row r="122" spans="2:14" ht="12.75" customHeight="1" x14ac:dyDescent="0.2">
      <c r="B122" s="74"/>
      <c r="H122" s="48"/>
      <c r="I122" s="48"/>
      <c r="J122" s="48"/>
      <c r="N122" s="75"/>
    </row>
    <row r="123" spans="2:14" ht="12.75" customHeight="1" x14ac:dyDescent="0.25">
      <c r="B123" s="74"/>
      <c r="G123" s="435"/>
      <c r="H123" s="435"/>
      <c r="I123" s="435"/>
      <c r="J123" s="48"/>
      <c r="N123" s="75"/>
    </row>
    <row r="124" spans="2:14" ht="12.75" customHeight="1" x14ac:dyDescent="0.25">
      <c r="B124" s="74"/>
      <c r="C124" s="48"/>
      <c r="D124" s="435" t="s">
        <v>368</v>
      </c>
      <c r="E124" s="448"/>
      <c r="J124" s="48"/>
      <c r="K124" s="48"/>
      <c r="N124" s="75"/>
    </row>
    <row r="125" spans="2:14" x14ac:dyDescent="0.2">
      <c r="B125" s="74"/>
      <c r="C125" s="445" t="s">
        <v>369</v>
      </c>
      <c r="J125" s="48"/>
      <c r="K125" s="48"/>
      <c r="N125" s="75"/>
    </row>
    <row r="126" spans="2:14" x14ac:dyDescent="0.2">
      <c r="B126" s="74"/>
      <c r="C126" s="429" t="s">
        <v>370</v>
      </c>
      <c r="D126" s="249"/>
      <c r="E126" s="449">
        <v>4</v>
      </c>
      <c r="G126" s="48"/>
      <c r="J126" s="48"/>
      <c r="N126" s="75"/>
    </row>
    <row r="127" spans="2:14" x14ac:dyDescent="0.2">
      <c r="B127" s="74"/>
      <c r="C127" s="431" t="s">
        <v>371</v>
      </c>
      <c r="D127" s="255"/>
      <c r="E127" s="456">
        <f>S_para</f>
        <v>1.5070049999999999</v>
      </c>
      <c r="G127" s="48"/>
      <c r="J127" s="48"/>
      <c r="N127" s="75"/>
    </row>
    <row r="128" spans="2:14" x14ac:dyDescent="0.2">
      <c r="B128" s="74"/>
      <c r="C128" s="664" t="s">
        <v>372</v>
      </c>
      <c r="D128" s="665"/>
      <c r="E128" s="450">
        <f ca="1">0.5*Rho_moyen*S_para*Vit_culmi^2</f>
        <v>188.34768462719052</v>
      </c>
      <c r="F128" s="451">
        <f ca="1">E128/g</f>
        <v>19.199560104708514</v>
      </c>
      <c r="H128" s="48"/>
      <c r="I128" s="48"/>
      <c r="J128" s="48"/>
      <c r="K128" s="48"/>
      <c r="N128" s="75"/>
    </row>
    <row r="129" spans="2:14" x14ac:dyDescent="0.2">
      <c r="B129" s="74"/>
      <c r="C129" s="662" t="s">
        <v>373</v>
      </c>
      <c r="D129" s="663"/>
      <c r="E129" s="452">
        <f ca="1">E128/E126*2</f>
        <v>94.173842313595259</v>
      </c>
      <c r="F129" s="453">
        <f ca="1">E129/g</f>
        <v>9.5997800523542569</v>
      </c>
      <c r="H129" s="48"/>
      <c r="I129" s="48"/>
      <c r="J129" s="48"/>
      <c r="K129" s="48"/>
      <c r="N129" s="75"/>
    </row>
    <row r="130" spans="2:14" x14ac:dyDescent="0.2">
      <c r="B130" s="74"/>
      <c r="C130" s="47"/>
      <c r="D130" s="47"/>
      <c r="E130" s="443"/>
      <c r="F130" s="444"/>
      <c r="H130" s="48"/>
      <c r="I130" s="48"/>
      <c r="J130" s="48"/>
      <c r="K130" s="48"/>
      <c r="N130" s="75"/>
    </row>
    <row r="131" spans="2:14" x14ac:dyDescent="0.2">
      <c r="B131" s="74"/>
      <c r="C131" s="445" t="s">
        <v>374</v>
      </c>
      <c r="D131" s="48"/>
      <c r="E131" s="48"/>
      <c r="F131" s="48"/>
      <c r="G131" s="48"/>
      <c r="H131" s="48"/>
      <c r="I131" s="48"/>
      <c r="J131" s="48"/>
      <c r="K131" s="48"/>
      <c r="N131" s="75"/>
    </row>
    <row r="132" spans="2:14" x14ac:dyDescent="0.2">
      <c r="B132" s="74"/>
      <c r="C132" s="664" t="s">
        <v>375</v>
      </c>
      <c r="D132" s="665"/>
      <c r="E132" s="454">
        <v>1</v>
      </c>
      <c r="F132" s="48"/>
      <c r="G132" s="48"/>
      <c r="H132" s="48"/>
      <c r="I132" s="48"/>
      <c r="J132" s="442"/>
      <c r="K132" s="48"/>
      <c r="N132" s="75"/>
    </row>
    <row r="133" spans="2:14" x14ac:dyDescent="0.2">
      <c r="B133" s="74"/>
      <c r="C133" s="662" t="s">
        <v>376</v>
      </c>
      <c r="D133" s="663"/>
      <c r="E133" s="455">
        <f ca="1">2*E132*Acc_max/g</f>
        <v>23.371232219130938</v>
      </c>
      <c r="F133" s="48"/>
      <c r="G133" s="48"/>
      <c r="H133" s="48"/>
      <c r="I133" s="48"/>
      <c r="J133" s="48"/>
      <c r="K133" s="48"/>
      <c r="N133" s="75"/>
    </row>
    <row r="134" spans="2:14" ht="13.5" thickBot="1" x14ac:dyDescent="0.25">
      <c r="B134" s="77"/>
      <c r="C134" s="461"/>
      <c r="D134" s="461"/>
      <c r="E134" s="461"/>
      <c r="F134" s="461"/>
      <c r="G134" s="461"/>
      <c r="H134" s="461"/>
      <c r="I134" s="461"/>
      <c r="J134" s="461"/>
      <c r="K134" s="461"/>
      <c r="L134" s="78"/>
      <c r="M134" s="78"/>
      <c r="N134" s="79"/>
    </row>
  </sheetData>
  <sheetProtection password="C6AC" sheet="1"/>
  <mergeCells count="22">
    <mergeCell ref="H11:I11"/>
    <mergeCell ref="H12:I12"/>
    <mergeCell ref="H13:I13"/>
    <mergeCell ref="H29:K29"/>
    <mergeCell ref="C29:C30"/>
    <mergeCell ref="D29:D30"/>
    <mergeCell ref="H17:I17"/>
    <mergeCell ref="H18:I18"/>
    <mergeCell ref="H19:I19"/>
    <mergeCell ref="E29:G30"/>
    <mergeCell ref="C133:D133"/>
    <mergeCell ref="C128:D128"/>
    <mergeCell ref="C129:D129"/>
    <mergeCell ref="C132:D132"/>
    <mergeCell ref="H44:I44"/>
    <mergeCell ref="H45:I45"/>
    <mergeCell ref="H46:I46"/>
    <mergeCell ref="E31:G31"/>
    <mergeCell ref="M29:M30"/>
    <mergeCell ref="H30:I30"/>
    <mergeCell ref="L29:L30"/>
    <mergeCell ref="H31:I31"/>
  </mergeCells>
  <phoneticPr fontId="8" type="noConversion"/>
  <conditionalFormatting sqref="D18:E18">
    <cfRule type="expression" dxfId="2" priority="2" stopIfTrue="1">
      <formula>IF(Propu="Cariacou",0,1)</formula>
    </cfRule>
  </conditionalFormatting>
  <conditionalFormatting sqref="F18:I19">
    <cfRule type="expression" dxfId="1" priority="1" stopIfTrue="1">
      <formula>IF(Propu="Cariacou",1,0)</formula>
    </cfRule>
  </conditionalFormatting>
  <conditionalFormatting sqref="I16 I68:I73">
    <cfRule type="expression" dxfId="0" priority="6" stopIfTrue="1">
      <formula>Nb_sat="0 satellite"</formula>
    </cfRule>
  </conditionalFormatting>
  <pageMargins left="0.39370078740157483" right="0.39370078740157483" top="0.39370078740157483" bottom="0.39370078740157483" header="0" footer="0"/>
  <pageSetup paperSize="9" scale="61" orientation="portrait"/>
  <ignoredErrors>
    <ignoredError sqref="H65 H63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214</vt:i4>
      </vt:variant>
    </vt:vector>
  </HeadingPairs>
  <TitlesOfParts>
    <vt:vector size="222" baseType="lpstr">
      <vt:lpstr>Stabilito</vt:lpstr>
      <vt:lpstr>Trajecto</vt:lpstr>
      <vt:lpstr>Courbes</vt:lpstr>
      <vt:lpstr>Propu</vt:lpstr>
      <vt:lpstr>Calculs</vt:lpstr>
      <vt:lpstr>Abaco</vt:lpstr>
      <vt:lpstr>Info</vt:lpstr>
      <vt:lpstr>Controle</vt:lpstr>
      <vt:lpstr>a_prop</vt:lpstr>
      <vt:lpstr>Acc_max</vt:lpstr>
      <vt:lpstr>acc_x</vt:lpstr>
      <vt:lpstr>acc_xz</vt:lpstr>
      <vt:lpstr>acc_z</vt:lpstr>
      <vt:lpstr>Alt_para</vt:lpstr>
      <vt:lpstr>alt_prop</vt:lpstr>
      <vt:lpstr>Alt_rampe</vt:lpstr>
      <vt:lpstr>Alt_sat</vt:lpstr>
      <vt:lpstr>Altitude_culmi</vt:lpstr>
      <vt:lpstr>b_bal</vt:lpstr>
      <vt:lpstr>b_prop</vt:lpstr>
      <vt:lpstr>Beta</vt:lpstr>
      <vt:lpstr>Beta_rampe</vt:lpstr>
      <vt:lpstr>BetaD</vt:lpstr>
      <vt:lpstr>CdP</vt:lpstr>
      <vt:lpstr>CdP_P</vt:lpstr>
      <vt:lpstr>CdP_t</vt:lpstr>
      <vt:lpstr>Club</vt:lpstr>
      <vt:lpstr>Cn</vt:lpstr>
      <vt:lpstr>Cn0</vt:lpstr>
      <vt:lpstr>Stabilito!Cnai</vt:lpstr>
      <vt:lpstr>Cnai0</vt:lpstr>
      <vt:lpstr>Stabilito!Cnail</vt:lpstr>
      <vt:lpstr>Stabilito!Cnc</vt:lpstr>
      <vt:lpstr>Stabilito!Cni</vt:lpstr>
      <vt:lpstr>Cni0</vt:lpstr>
      <vt:lpstr>Stabilito!Cnj</vt:lpstr>
      <vt:lpstr>Stabilito!Cno</vt:lpstr>
      <vt:lpstr>Stabilito!Cnr</vt:lpstr>
      <vt:lpstr>Combustion</vt:lpstr>
      <vt:lpstr>Stabilito!CritCnmax</vt:lpstr>
      <vt:lpstr>Stabilito!CritCnmin</vt:lpstr>
      <vt:lpstr>Stabilito!CritFinessemax</vt:lpstr>
      <vt:lpstr>Stabilito!CritFinessemin</vt:lpstr>
      <vt:lpstr>Stabilito!CritMsCnmax</vt:lpstr>
      <vt:lpstr>Stabilito!CritMsCnmin</vt:lpstr>
      <vt:lpstr>Stabilito!CritMsmax</vt:lpstr>
      <vt:lpstr>Stabilito!CritMsmin</vt:lpstr>
      <vt:lpstr>Cx</vt:lpstr>
      <vt:lpstr>Cx_para</vt:lpstr>
      <vt:lpstr>Cx_satellite</vt:lpstr>
      <vt:lpstr>D_ail</vt:lpstr>
      <vt:lpstr>Stabilito!D_can</vt:lpstr>
      <vt:lpstr>Stabilito!D_int</vt:lpstr>
      <vt:lpstr>D_og</vt:lpstr>
      <vt:lpstr>D_ref</vt:lpstr>
      <vt:lpstr>D_var</vt:lpstr>
      <vt:lpstr>D1j</vt:lpstr>
      <vt:lpstr>D1r</vt:lpstr>
      <vt:lpstr>D2j</vt:lpstr>
      <vt:lpstr>D2r</vt:lpstr>
      <vt:lpstr>Débit</vt:lpstr>
      <vt:lpstr>Depotage</vt:lpstr>
      <vt:lpstr>Diam_propu</vt:lpstr>
      <vt:lpstr>Dt_para</vt:lpstr>
      <vt:lpstr>Dt_satellite</vt:lpstr>
      <vt:lpstr>Dx_para</vt:lpstr>
      <vt:lpstr>Dx_sat</vt:lpstr>
      <vt:lpstr>E_ail</vt:lpstr>
      <vt:lpstr>E_can</vt:lpstr>
      <vt:lpstr>Stabilito!E_int</vt:lpstr>
      <vt:lpstr>ep_ail</vt:lpstr>
      <vt:lpstr>ep_can</vt:lpstr>
      <vt:lpstr>Stabilito!ep_int</vt:lpstr>
      <vt:lpstr>Event</vt:lpstr>
      <vt:lpstr>Event_para</vt:lpstr>
      <vt:lpstr>Event_sat</vt:lpstr>
      <vt:lpstr>Stabilito!f_ail</vt:lpstr>
      <vt:lpstr>Stabilito!f_can</vt:lpstr>
      <vt:lpstr>Stabilito!f_int</vt:lpstr>
      <vt:lpstr>Finesse</vt:lpstr>
      <vt:lpstr>Forme_ogive</vt:lpstr>
      <vt:lpstr>g</vt:lpstr>
      <vt:lpstr>i_P</vt:lpstr>
      <vt:lpstr>I_total</vt:lpstr>
      <vt:lpstr>ISP</vt:lpstr>
      <vt:lpstr>l_j</vt:lpstr>
      <vt:lpstr>l_r</vt:lpstr>
      <vt:lpstr>L_rampe</vt:lpstr>
      <vt:lpstr>Lang</vt:lpstr>
      <vt:lpstr>Liste_µfu</vt:lpstr>
      <vt:lpstr>Liste_fusex</vt:lpstr>
      <vt:lpstr>Liste_H2O</vt:lpstr>
      <vt:lpstr>Liste_minif</vt:lpstr>
      <vt:lpstr>Liste_minifT</vt:lpstr>
      <vt:lpstr>Liste_propu</vt:lpstr>
      <vt:lpstr>Liste_RC</vt:lpstr>
      <vt:lpstr>Long_ogive</vt:lpstr>
      <vt:lpstr>Long_propu</vt:lpstr>
      <vt:lpstr>Long_tot</vt:lpstr>
      <vt:lpstr>m</vt:lpstr>
      <vt:lpstr>m_ail</vt:lpstr>
      <vt:lpstr>m_bal</vt:lpstr>
      <vt:lpstr>m_can</vt:lpstr>
      <vt:lpstr>Stabilito!m_int</vt:lpstr>
      <vt:lpstr>m_poudre</vt:lpstr>
      <vt:lpstr>m_prop</vt:lpstr>
      <vt:lpstr>m_satellite</vt:lpstr>
      <vt:lpstr>m_tot</vt:lpstr>
      <vt:lpstr>m_var</vt:lpstr>
      <vt:lpstr>m_vide</vt:lpstr>
      <vt:lpstr>Masse_ail</vt:lpstr>
      <vt:lpstr>MassePlein</vt:lpstr>
      <vt:lpstr>MasseSans</vt:lpstr>
      <vt:lpstr>MasseVide</vt:lpstr>
      <vt:lpstr>Menu_Empennage</vt:lpstr>
      <vt:lpstr>Menu_Lang</vt:lpstr>
      <vt:lpstr>Menu_Ogive</vt:lpstr>
      <vt:lpstr>Menu_sat</vt:lpstr>
      <vt:lpstr>Menu_Transitions</vt:lpstr>
      <vt:lpstr>Menu_Type</vt:lpstr>
      <vt:lpstr>Menu_with_motor</vt:lpstr>
      <vt:lpstr>MpropuPlein</vt:lpstr>
      <vt:lpstr>MpropuVide</vt:lpstr>
      <vt:lpstr>MS_Cn_max</vt:lpstr>
      <vt:lpstr>MS_Cn_min</vt:lpstr>
      <vt:lpstr>MS_max</vt:lpstr>
      <vt:lpstr>MS_min</vt:lpstr>
      <vt:lpstr>n_ail</vt:lpstr>
      <vt:lpstr>n_can</vt:lpstr>
      <vt:lpstr>Stabilito!n_int</vt:lpstr>
      <vt:lpstr>Nb_diam</vt:lpstr>
      <vt:lpstr>Nb_sat</vt:lpstr>
      <vt:lpstr>Nom</vt:lpstr>
      <vt:lpstr>p_ail</vt:lpstr>
      <vt:lpstr>p_can</vt:lpstr>
      <vt:lpstr>Stabilito!p_int</vt:lpstr>
      <vt:lpstr>pas</vt:lpstr>
      <vt:lpstr>Poids</vt:lpstr>
      <vt:lpstr>Portee_balistique</vt:lpstr>
      <vt:lpstr>pos_x</vt:lpstr>
      <vt:lpstr>pos_xz</vt:lpstr>
      <vt:lpstr>pos_z</vt:lpstr>
      <vt:lpstr>pos_z_montant</vt:lpstr>
      <vt:lpstr>Poussee</vt:lpstr>
      <vt:lpstr>Propu</vt:lpstr>
      <vt:lpstr>Q_ail</vt:lpstr>
      <vt:lpstr>Q_can</vt:lpstr>
      <vt:lpstr>Stabilito!Q_int</vt:lpstr>
      <vt:lpstr>Q_var</vt:lpstr>
      <vt:lpstr>R_rampe</vt:lpstr>
      <vt:lpstr>Rho</vt:lpstr>
      <vt:lpstr>Rho_moyen</vt:lpstr>
      <vt:lpstr>S_ail</vt:lpstr>
      <vt:lpstr>S_para</vt:lpstr>
      <vt:lpstr>S_para_croix</vt:lpstr>
      <vt:lpstr>S_para_rond</vt:lpstr>
      <vt:lpstr>S_satellite</vt:lpstr>
      <vt:lpstr>Sref</vt:lpstr>
      <vt:lpstr>sS</vt:lpstr>
      <vt:lpstr>t</vt:lpstr>
      <vt:lpstr>T_balistique</vt:lpstr>
      <vt:lpstr>T_ini</vt:lpstr>
      <vt:lpstr>T_para</vt:lpstr>
      <vt:lpstr>T_satellite</vt:lpstr>
      <vt:lpstr>Temps_culmi</vt:lpstr>
      <vt:lpstr>Temps_fin_propu</vt:lpstr>
      <vt:lpstr>Trainee</vt:lpstr>
      <vt:lpstr>tT_fus</vt:lpstr>
      <vt:lpstr>tT_sat</vt:lpstr>
      <vt:lpstr>Type_fusee</vt:lpstr>
      <vt:lpstr>Abaco!Type_masquage</vt:lpstr>
      <vt:lpstr>Stabilito!Type_masquage</vt:lpstr>
      <vt:lpstr>Type_propu</vt:lpstr>
      <vt:lpstr>V_ini</vt:lpstr>
      <vt:lpstr>V_ouv_sat</vt:lpstr>
      <vt:lpstr>V_ouverture</vt:lpstr>
      <vt:lpstr>V_para</vt:lpstr>
      <vt:lpstr>V_prop</vt:lpstr>
      <vt:lpstr>V_satellite</vt:lpstr>
      <vt:lpstr>V_vent</vt:lpstr>
      <vt:lpstr>V_vent_sat</vt:lpstr>
      <vt:lpstr>Stabilito!Version</vt:lpstr>
      <vt:lpstr>Trajecto!Version</vt:lpstr>
      <vt:lpstr>Vit_culmi</vt:lpstr>
      <vt:lpstr>Vit_max</vt:lpstr>
      <vt:lpstr>vit_x</vt:lpstr>
      <vt:lpstr>vit_xz</vt:lpstr>
      <vt:lpstr>vit_z</vt:lpstr>
      <vt:lpstr>Vsortie_de_rampe</vt:lpstr>
      <vt:lpstr>X_ail</vt:lpstr>
      <vt:lpstr>X_can</vt:lpstr>
      <vt:lpstr>X_culmi</vt:lpstr>
      <vt:lpstr>X_ini</vt:lpstr>
      <vt:lpstr>Stabilito!X_int</vt:lpstr>
      <vt:lpstr>X_j</vt:lpstr>
      <vt:lpstr>X_para</vt:lpstr>
      <vt:lpstr>X_r</vt:lpstr>
      <vt:lpstr>X_satellite</vt:lpstr>
      <vt:lpstr>XcgPlein</vt:lpstr>
      <vt:lpstr>XcgSans</vt:lpstr>
      <vt:lpstr>XcgVide</vt:lpstr>
      <vt:lpstr>Stabilito!XCp</vt:lpstr>
      <vt:lpstr>XCp0</vt:lpstr>
      <vt:lpstr>Stabilito!XCpa</vt:lpstr>
      <vt:lpstr>Stabilito!XCpai</vt:lpstr>
      <vt:lpstr>XCpai0</vt:lpstr>
      <vt:lpstr>Stabilito!XCpc</vt:lpstr>
      <vt:lpstr>Stabilito!XCpi</vt:lpstr>
      <vt:lpstr>XCpi0</vt:lpstr>
      <vt:lpstr>Stabilito!XCpj</vt:lpstr>
      <vt:lpstr>Stabilito!XCpo</vt:lpstr>
      <vt:lpstr>Stabilito!XCpr</vt:lpstr>
      <vt:lpstr>XpropuPlein</vt:lpstr>
      <vt:lpstr>XpropuRef</vt:lpstr>
      <vt:lpstr>XpropuVide</vt:lpstr>
      <vt:lpstr>Z_ini</vt:lpstr>
      <vt:lpstr>Abaco!Zone_d_impression</vt:lpstr>
      <vt:lpstr>Courbes!Zone_d_impression</vt:lpstr>
      <vt:lpstr>Stabilito!Zone_d_impression</vt:lpstr>
      <vt:lpstr>Trajecto!Zone_d_impression</vt:lpstr>
      <vt:lpstr>zZ_fus</vt:lpstr>
      <vt:lpstr>zZ_sat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StabTraj</dc:title>
  <dc:creator>Léo Côme;Sylvain Besson</dc:creator>
  <cp:lastModifiedBy>Alexis Paillard</cp:lastModifiedBy>
  <cp:lastPrinted>2011-11-08T21:12:34Z</cp:lastPrinted>
  <dcterms:created xsi:type="dcterms:W3CDTF">2008-11-03T20:48:06Z</dcterms:created>
  <dcterms:modified xsi:type="dcterms:W3CDTF">2025-04-27T22:51:00Z</dcterms:modified>
</cp:coreProperties>
</file>